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8_{F837E878-E72F-4CAF-A15E-5F49C0AD71E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4" i="5" l="1"/>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5" i="5"/>
  <c r="G15" i="5" s="1"/>
  <c r="V16" i="5"/>
  <c r="G16" i="5" s="1"/>
  <c r="E16" i="5"/>
  <c r="X16" i="5" s="1"/>
  <c r="V17" i="5"/>
  <c r="E17" i="5" s="1"/>
  <c r="V18" i="5"/>
  <c r="E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V45" i="5"/>
  <c r="E45" i="5"/>
  <c r="X45" i="5" s="1"/>
  <c r="V46" i="5"/>
  <c r="E46" i="5"/>
  <c r="X46" i="5" s="1"/>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B16" i="6"/>
  <c r="B15" i="6"/>
  <c r="B14" i="6"/>
  <c r="G14" i="6"/>
  <c r="H14" i="6"/>
  <c r="D14" i="6" s="1"/>
  <c r="H13" i="6"/>
  <c r="B12" i="6"/>
  <c r="G12" i="6" s="1"/>
  <c r="H12" i="6" s="1"/>
  <c r="D12" i="6" s="1"/>
  <c r="B11" i="6"/>
  <c r="G11" i="6" s="1"/>
  <c r="H11" i="6" s="1"/>
  <c r="D11" i="6" s="1"/>
  <c r="G9" i="6"/>
  <c r="H9" i="6" s="1"/>
  <c r="D9" i="6" s="1"/>
  <c r="B8" i="6"/>
  <c r="G8" i="6" s="1"/>
  <c r="H8" i="6" s="1"/>
  <c r="D8" i="6" s="1"/>
  <c r="B7" i="6"/>
  <c r="G7" i="6" s="1"/>
  <c r="H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B47" i="4" s="1"/>
  <c r="A32" i="6" s="1"/>
  <c r="P46" i="4"/>
  <c r="P45" i="4"/>
  <c r="P44" i="4"/>
  <c r="P43" i="4"/>
  <c r="Q43" i="4"/>
  <c r="P41" i="4"/>
  <c r="P40" i="4"/>
  <c r="P39" i="4"/>
  <c r="P38" i="4"/>
  <c r="P37" i="4"/>
  <c r="Q37" i="4" s="1"/>
  <c r="P35" i="4"/>
  <c r="P34" i="4"/>
  <c r="P33" i="4"/>
  <c r="P32" i="4"/>
  <c r="P31" i="4"/>
  <c r="Q31" i="4" s="1"/>
  <c r="P29" i="4"/>
  <c r="B29" i="4" s="1"/>
  <c r="A17" i="6" s="1"/>
  <c r="P28" i="4"/>
  <c r="P27" i="4"/>
  <c r="B27" i="4" s="1"/>
  <c r="B33" i="4" s="1"/>
  <c r="A20"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H27" i="6" s="1"/>
  <c r="D27" i="6" s="1"/>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B49" i="6" s="1"/>
  <c r="G49" i="6" s="1"/>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482" i="5"/>
  <c r="X122" i="5"/>
  <c r="S532" i="5"/>
  <c r="S356" i="5"/>
  <c r="S343" i="5"/>
  <c r="S315" i="5"/>
  <c r="X50" i="5"/>
  <c r="S357" i="5"/>
  <c r="S383" i="5"/>
  <c r="X44" i="5"/>
  <c r="X242"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s="1"/>
  <c r="H42" i="6" s="1"/>
  <c r="D42" i="6" s="1"/>
  <c r="B39" i="6"/>
  <c r="G39" i="6" s="1"/>
  <c r="F24" i="6"/>
  <c r="F39" i="6" s="1"/>
  <c r="B44" i="6"/>
  <c r="G44" i="6" s="1"/>
  <c r="B29" i="6"/>
  <c r="G2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s="1"/>
  <c r="D46" i="6" s="1"/>
  <c r="B26" i="6"/>
  <c r="G26" i="6" s="1"/>
  <c r="H26" i="6" s="1"/>
  <c r="D26" i="6" s="1"/>
  <c r="G21" i="6"/>
  <c r="H21" i="6"/>
  <c r="K67" i="6" s="1"/>
  <c r="B36" i="6"/>
  <c r="G36" i="6" s="1"/>
  <c r="H36" i="6" s="1"/>
  <c r="D36" i="6" s="1"/>
  <c r="G20" i="6"/>
  <c r="H20" i="6" s="1"/>
  <c r="D20" i="6" s="1"/>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F41" i="6"/>
  <c r="H41" i="6"/>
  <c r="D41" i="6"/>
  <c r="F36" i="6"/>
  <c r="F51" i="6"/>
  <c r="H51" i="6"/>
  <c r="D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32" i="6"/>
  <c r="F52" i="6"/>
  <c r="H52" i="6" s="1"/>
  <c r="D52" i="6" s="1"/>
  <c r="F47" i="6"/>
  <c r="H47" i="6" s="1"/>
  <c r="D4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S611" i="5"/>
  <c r="S601" i="5"/>
  <c r="X402" i="5"/>
  <c r="X410" i="5"/>
  <c r="X212" i="5"/>
  <c r="S600" i="5"/>
  <c r="X168" i="5"/>
  <c r="X446" i="5"/>
  <c r="S382" i="5"/>
  <c r="S533" i="5"/>
  <c r="S355" i="5"/>
  <c r="S602" i="5"/>
  <c r="X350" i="5"/>
  <c r="S603" i="5"/>
  <c r="X104" i="5"/>
  <c r="X260" i="5"/>
  <c r="S605" i="5"/>
  <c r="X554" i="5"/>
  <c r="S607" i="5"/>
  <c r="X215" i="5"/>
  <c r="X314" i="5"/>
  <c r="S314" i="5"/>
  <c r="X593" i="5"/>
  <c r="X284" i="5"/>
  <c r="AB17" i="5"/>
  <c r="AB16" i="5"/>
  <c r="AB15"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17" i="5"/>
  <c r="I17" i="5"/>
  <c r="J17" i="5"/>
  <c r="R17" i="5"/>
  <c r="F17" i="5"/>
  <c r="J15" i="5"/>
  <c r="I15" i="5"/>
  <c r="F15" i="5"/>
  <c r="S5" i="5"/>
  <c r="S13" i="5"/>
  <c r="S12" i="5"/>
  <c r="S7" i="5"/>
  <c r="S11" i="5"/>
  <c r="S8" i="5"/>
  <c r="S10" i="5"/>
  <c r="G64" i="6" a="1"/>
  <c r="S14" i="5"/>
  <c r="S6" i="5"/>
  <c r="S9" i="5"/>
  <c r="X18" i="5" l="1"/>
  <c r="X17" i="5"/>
  <c r="J16" i="5"/>
  <c r="H16" i="5"/>
  <c r="I16" i="5"/>
  <c r="F16" i="5"/>
  <c r="R16" i="5"/>
  <c r="H15" i="5"/>
  <c r="R15" i="5"/>
  <c r="E15" i="5"/>
  <c r="G69" i="6" a="1"/>
  <c r="G69" i="6" s="1"/>
  <c r="G66" i="6"/>
  <c r="G68" i="6"/>
  <c r="G65" i="6"/>
  <c r="G67" i="6"/>
  <c r="H67" i="6" s="1"/>
  <c r="D67" i="6" s="1"/>
  <c r="F45" i="6"/>
  <c r="F50" i="6"/>
  <c r="B35" i="6"/>
  <c r="G35" i="6" s="1"/>
  <c r="B30" i="6"/>
  <c r="G30" i="6" s="1"/>
  <c r="B25" i="6"/>
  <c r="G25" i="6" s="1"/>
  <c r="B50" i="6"/>
  <c r="G50" i="6" s="1"/>
  <c r="B40" i="6"/>
  <c r="G40" i="6" s="1"/>
  <c r="B45" i="6"/>
  <c r="G45" i="6" s="1"/>
  <c r="C27" i="6"/>
  <c r="C32" i="6"/>
  <c r="F37" i="6"/>
  <c r="H37" i="6" s="1"/>
  <c r="D37" i="6" s="1"/>
  <c r="C17" i="6"/>
  <c r="C42" i="6"/>
  <c r="C22" i="6"/>
  <c r="C47" i="6"/>
  <c r="F68" i="6"/>
  <c r="C52" i="6"/>
  <c r="C36" i="6"/>
  <c r="D21" i="6"/>
  <c r="C51" i="6"/>
  <c r="C41" i="6"/>
  <c r="C31" i="6"/>
  <c r="C46" i="6"/>
  <c r="C16" i="6"/>
  <c r="C21" i="6"/>
  <c r="C26" i="6"/>
  <c r="D15" i="6"/>
  <c r="K66" i="6"/>
  <c r="B31" i="4"/>
  <c r="A18" i="6" s="1"/>
  <c r="B67" i="4"/>
  <c r="A48" i="6" s="1"/>
  <c r="B37" i="4"/>
  <c r="A23" i="6" s="1"/>
  <c r="B61" i="4"/>
  <c r="A43" i="6" s="1"/>
  <c r="B83" i="4"/>
  <c r="A59" i="6" s="1"/>
  <c r="B43" i="4"/>
  <c r="A28" i="6" s="1"/>
  <c r="B49" i="4"/>
  <c r="A33" i="6" s="1"/>
  <c r="B87" i="4"/>
  <c r="A62" i="6" s="1"/>
  <c r="B75" i="4"/>
  <c r="A54" i="6" s="1"/>
  <c r="B81" i="4"/>
  <c r="A58" i="6" s="1"/>
  <c r="B85" i="4"/>
  <c r="A60" i="6" s="1"/>
  <c r="B55" i="4"/>
  <c r="A38" i="6" s="1"/>
  <c r="B89" i="4"/>
  <c r="A63" i="6" s="1"/>
  <c r="B77" i="4"/>
  <c r="A55" i="6" s="1"/>
  <c r="B79" i="4"/>
  <c r="A57" i="6" s="1"/>
  <c r="H45" i="6"/>
  <c r="D45" i="6" s="1"/>
  <c r="C15" i="6"/>
  <c r="F40" i="6"/>
  <c r="H40" i="6" s="1"/>
  <c r="D40" i="6" s="1"/>
  <c r="F35" i="6"/>
  <c r="H35" i="6" s="1"/>
  <c r="D35" i="6" s="1"/>
  <c r="H25" i="6"/>
  <c r="D25" i="6" s="1"/>
  <c r="F30" i="6"/>
  <c r="H30" i="6" s="1"/>
  <c r="D30" i="6" s="1"/>
  <c r="C45" i="6"/>
  <c r="F66" i="6"/>
  <c r="C20" i="6"/>
  <c r="H39" i="6"/>
  <c r="D39" i="6" s="1"/>
  <c r="G19" i="6"/>
  <c r="H19" i="6" s="1"/>
  <c r="C49" i="6"/>
  <c r="C19" i="6"/>
  <c r="B24" i="6"/>
  <c r="G24" i="6" s="1"/>
  <c r="C29" i="6"/>
  <c r="H24" i="6"/>
  <c r="D24" i="6" s="1"/>
  <c r="F29" i="6"/>
  <c r="H29" i="6" s="1"/>
  <c r="D29" i="6" s="1"/>
  <c r="B34" i="6"/>
  <c r="G34" i="6" s="1"/>
  <c r="H34" i="6" s="1"/>
  <c r="C44" i="6"/>
  <c r="F49" i="6"/>
  <c r="H49" i="6" s="1"/>
  <c r="D49" i="6" s="1"/>
  <c r="F65" i="6"/>
  <c r="F54" i="6"/>
  <c r="C39" i="6"/>
  <c r="C14" i="6"/>
  <c r="C12" i="6"/>
  <c r="C11" i="6"/>
  <c r="B51" i="4"/>
  <c r="A35" i="6" s="1"/>
  <c r="C10" i="6"/>
  <c r="C9" i="6"/>
  <c r="B50" i="4"/>
  <c r="A34" i="6" s="1"/>
  <c r="B68" i="4"/>
  <c r="A49" i="6" s="1"/>
  <c r="B35" i="4"/>
  <c r="A22" i="6" s="1"/>
  <c r="D74" i="4"/>
  <c r="B56" i="4"/>
  <c r="A39" i="6" s="1"/>
  <c r="A24" i="6"/>
  <c r="B64" i="4"/>
  <c r="A46" i="6" s="1"/>
  <c r="B70" i="4"/>
  <c r="A51" i="6" s="1"/>
  <c r="C8" i="6"/>
  <c r="B58" i="4"/>
  <c r="A41" i="6" s="1"/>
  <c r="A26" i="6"/>
  <c r="B71" i="4"/>
  <c r="A52" i="6" s="1"/>
  <c r="B59" i="4"/>
  <c r="A42" i="6" s="1"/>
  <c r="B65" i="4"/>
  <c r="A47" i="6" s="1"/>
  <c r="B53" i="4"/>
  <c r="A37" i="6" s="1"/>
  <c r="B34" i="4"/>
  <c r="A21" i="6" s="1"/>
  <c r="B63" i="4"/>
  <c r="A45" i="6" s="1"/>
  <c r="B69" i="4"/>
  <c r="A50" i="6" s="1"/>
  <c r="A25" i="6"/>
  <c r="D49" i="4"/>
  <c r="D43" i="4"/>
  <c r="D7" i="6"/>
  <c r="C7" i="6"/>
  <c r="G55" i="4"/>
  <c r="G37" i="4"/>
  <c r="G49" i="4"/>
  <c r="G67" i="4"/>
  <c r="G31" i="4"/>
  <c r="D55" i="4"/>
  <c r="C5" i="6"/>
  <c r="D67" i="4"/>
  <c r="B32" i="4"/>
  <c r="A19" i="6" s="1"/>
  <c r="C4" i="6"/>
  <c r="G64" i="6"/>
  <c r="D37" i="4"/>
  <c r="F69" i="6"/>
  <c r="A15" i="6"/>
  <c r="G74" i="4"/>
  <c r="G43" i="4"/>
  <c r="D31" i="4"/>
  <c r="T14" i="5"/>
  <c r="S18" i="5"/>
  <c r="T8" i="5"/>
  <c r="S17" i="5"/>
  <c r="T7" i="5"/>
  <c r="S16" i="5"/>
  <c r="T5" i="5"/>
  <c r="T10" i="5"/>
  <c r="T12" i="5"/>
  <c r="T11" i="5"/>
  <c r="T6" i="5"/>
  <c r="T9" i="5"/>
  <c r="T13" i="5"/>
  <c r="X15" i="5" l="1"/>
  <c r="H66" i="6"/>
  <c r="D66" i="6" s="1"/>
  <c r="C67" i="6"/>
  <c r="H68" i="6"/>
  <c r="D68" i="6" s="1"/>
  <c r="C25" i="6"/>
  <c r="H50" i="6"/>
  <c r="C30" i="6"/>
  <c r="C68" i="6"/>
  <c r="C37" i="6"/>
  <c r="C40" i="6"/>
  <c r="C35" i="6"/>
  <c r="C66" i="6"/>
  <c r="D34" i="6"/>
  <c r="C34" i="6"/>
  <c r="C24" i="6"/>
  <c r="F59" i="6"/>
  <c r="H59" i="6" s="1"/>
  <c r="F55" i="6"/>
  <c r="H54" i="6"/>
  <c r="F57" i="6"/>
  <c r="H57" i="6" s="1"/>
  <c r="F62" i="6"/>
  <c r="H62" i="6" s="1"/>
  <c r="F60" i="6"/>
  <c r="H60" i="6" s="1"/>
  <c r="F58" i="6"/>
  <c r="H58" i="6" s="1"/>
  <c r="F63" i="6"/>
  <c r="H63" i="6" s="1"/>
  <c r="C2" i="6"/>
  <c r="B2" i="6"/>
  <c r="H65" i="6"/>
  <c r="D19" i="6"/>
  <c r="K65" i="6"/>
  <c r="H69" i="6"/>
  <c r="C69" i="6"/>
  <c r="H64" i="6"/>
  <c r="B64" i="6"/>
  <c r="T18" i="5"/>
  <c r="T17" i="5"/>
  <c r="T16" i="5"/>
  <c r="S15" i="5"/>
  <c r="D50" i="6" l="1"/>
  <c r="C50" i="6"/>
  <c r="D65" i="6"/>
  <c r="C65" i="6"/>
  <c r="D63" i="6"/>
  <c r="C63" i="6"/>
  <c r="D58" i="6"/>
  <c r="C58" i="6"/>
  <c r="D60" i="6"/>
  <c r="C60" i="6"/>
  <c r="D62" i="6"/>
  <c r="C62" i="6"/>
  <c r="D57" i="6"/>
  <c r="C57" i="6"/>
  <c r="D54" i="6"/>
  <c r="C54" i="6"/>
  <c r="F56" i="6"/>
  <c r="H56" i="6" s="1"/>
  <c r="H55" i="6"/>
  <c r="D59" i="6"/>
  <c r="C59" i="6"/>
  <c r="C64" i="6"/>
  <c r="D64" i="6"/>
  <c r="T15"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<sst xmlns="http://schemas.openxmlformats.org/spreadsheetml/2006/main" count="22418" uniqueCount="15830">
  <si>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</si>
  <si>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</si>
  <si>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</si>
  <si>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</si>
  <si>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</si>
  <si>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</si>
  <si>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</si>
  <si>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</si>
  <si>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</si>
  <si>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</si>
  <si>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</si>
  <si>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</si>
  <si>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</si>
  <si>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</si>
  <si>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</si>
  <si>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</si>
  <si>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</si>
  <si>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</si>
  <si>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</si>
  <si>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</si>
  <si>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</si>
  <si>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</si>
  <si>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</si>
  <si>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</si>
  <si>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</si>
  <si>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</si>
  <si>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</si>
  <si>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</si>
  <si>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</si>
  <si>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</si>
  <si>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</si>
  <si>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</si>
  <si>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</si>
  <si>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</si>
  <si>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</si>
  <si>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</si>
  <si>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</si>
  <si>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</si>
  <si>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</si>
  <si>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</si>
  <si>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</si>
  <si>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</si>
  <si>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</si>
  <si>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</si>
  <si>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</si>
  <si>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</si>
  <si>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</si>
  <si>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</si>
  <si>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</si>
  <si>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</si>
  <si>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</si>
  <si>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</si>
  <si>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</si>
  <si>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</si>
  <si>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</si>
  <si>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</si>
  <si>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</si>
  <si>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</si>
  <si>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</si>
  <si>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</si>
  <si>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</si>
  <si>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</si>
  <si>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</si>
  <si>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</si>
  <si>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</si>
  <si>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</si>
  <si>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</si>
  <si>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</si>
  <si>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</si>
  <si>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</si>
  <si>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</si>
  <si>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</si>
  <si>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</si>
  <si>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</si>
  <si>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</si>
  <si>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</si>
  <si>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</si>
  <si>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</si>
  <si>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</si>
  <si>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</si>
  <si>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</si>
  <si>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</si>
  <si>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</si>
  <si>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</si>
  <si>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</si>
  <si>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</si>
  <si>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</si>
  <si>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</si>
  <si>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</si>
  <si>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</si>
  <si>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</si>
  <si>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</si>
  <si>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</si>
  <si>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</si>
  <si>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</si>
  <si>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</si>
  <si>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</si>
  <si>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</si>
  <si>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</si>
  <si>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</si>
  <si>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</si>
  <si>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</si>
  <si>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</si>
  <si>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</si>
  <si>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</si>
  <si>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</si>
  <si>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</si>
  <si>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</si>
  <si>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</si>
  <si>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</si>
  <si>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</si>
  <si>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</si>
  <si>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</si>
  <si>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</si>
  <si>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</si>
  <si>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</si>
  <si>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</si>
  <si>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</si>
  <si>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</si>
  <si>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</si>
  <si>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</si>
  <si>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</si>
  <si>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</si>
  <si>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</si>
  <si>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</si>
  <si>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</si>
  <si>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</si>
  <si>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</si>
  <si>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</si>
  <si>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</si>
  <si>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</si>
  <si>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</si>
  <si>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</si>
  <si>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</si>
  <si>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</si>
  <si>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</si>
  <si>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</si>
  <si>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</si>
  <si>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</si>
  <si>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</si>
  <si>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</si>
  <si>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</si>
  <si>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</si>
  <si>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</si>
  <si>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</si>
  <si>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</si>
  <si>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</si>
  <si>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</si>
  <si>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</si>
  <si>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</si>
  <si>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</si>
  <si>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</si>
  <si>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</si>
  <si>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</si>
  <si>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</si>
  <si>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</si>
  <si>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</si>
  <si>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</si>
  <si>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</si>
  <si>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</si>
  <si>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</si>
  <si>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</si>
  <si>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</si>
  <si>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</si>
  <si>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</si>
  <si>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</si>
  <si>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</si>
  <si>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</si>
  <si>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</si>
  <si>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</si>
  <si>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</si>
  <si>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</si>
  <si>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</si>
  <si>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</si>
  <si>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</si>
  <si>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</si>
  <si>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</si>
  <si>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</si>
  <si>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</si>
  <si>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</si>
  <si>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</si>
  <si>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</si>
  <si>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</si>
  <si>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</si>
  <si>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</si>
  <si>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</si>
  <si>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</si>
  <si>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</si>
  <si>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</si>
  <si>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</si>
  <si>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</si>
  <si>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</si>
  <si>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</si>
  <si>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</si>
  <si>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</si>
  <si>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</si>
  <si>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</si>
  <si>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</si>
  <si>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</si>
  <si>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</si>
  <si>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</si>
  <si>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</si>
  <si>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</si>
  <si>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</si>
  <si>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</si>
  <si>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</si>
  <si>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</si>
  <si>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</si>
  <si>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</si>
  <si>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</si>
  <si>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</si>
  <si>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</si>
  <si>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</si>
  <si>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</si>
  <si>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</si>
  <si>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</si>
  <si>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</si>
  <si>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</si>
  <si>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</si>
  <si>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</si>
  <si>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</si>
  <si>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</si>
  <si>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</si>
  <si>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</si>
  <si>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</si>
  <si>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</si>
  <si>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</si>
  <si>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</si>
  <si>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</si>
  <si>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</si>
  <si>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</si>
  <si>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</si>
  <si>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</si>
  <si>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</si>
  <si>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</si>
  <si>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</si>
  <si>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</si>
  <si>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</si>
  <si>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</si>
  <si>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</si>
  <si>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</si>
  <si>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</si>
  <si>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</si>
  <si>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</si>
  <si>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</si>
  <si>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</si>
  <si>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</si>
  <si>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</si>
  <si>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</si>
  <si>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</si>
  <si>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</si>
  <si>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</si>
  <si>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</si>
  <si>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</si>
  <si>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</si>
  <si>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</si>
  <si>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</si>
  <si>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</si>
  <si>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</si>
  <si>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</si>
  <si>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</si>
  <si>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</si>
  <si>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</si>
  <si>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</si>
  <si>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</si>
  <si>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</si>
  <si>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</si>
  <si>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</si>
  <si>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</si>
  <si>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</si>
  <si>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</si>
  <si>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</si>
  <si>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</si>
  <si>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</si>
  <si>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</si>
  <si>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</si>
  <si>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</si>
  <si>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</si>
  <si>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</si>
  <si>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</si>
  <si>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</si>
  <si>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</si>
  <si>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</si>
  <si>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</si>
  <si>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</si>
  <si>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</si>
  <si>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</si>
  <si>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</si>
  <si>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</si>
  <si>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</si>
  <si>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</si>
  <si>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</si>
  <si>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</si>
  <si>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</si>
  <si>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</si>
  <si>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</si>
  <si>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</si>
  <si>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</si>
  <si>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</si>
  <si>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</si>
  <si>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</si>
  <si>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</si>
  <si>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</si>
  <si>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</si>
  <si>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</si>
  <si>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</si>
  <si>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</si>
  <si>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</si>
  <si>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</si>
  <si>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</si>
  <si>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</si>
  <si>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</si>
  <si>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</si>
  <si>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</si>
  <si>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</si>
  <si>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</si>
  <si>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</si>
  <si>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</si>
  <si>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</si>
  <si>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</si>
  <si>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</si>
  <si>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</si>
  <si>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</si>
  <si>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</si>
  <si>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</si>
  <si>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</si>
  <si>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</si>
  <si>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</si>
  <si>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</si>
  <si>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</si>
  <si>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</si>
  <si>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</si>
  <si>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</si>
  <si>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</si>
  <si>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</si>
  <si>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</si>
  <si>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</si>
  <si>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</si>
  <si>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</si>
  <si>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</si>
  <si>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</si>
  <si>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</si>
  <si>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</si>
  <si>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</si>
  <si>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</si>
  <si>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</si>
  <si>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</si>
  <si>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</si>
  <si>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</si>
  <si>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</si>
  <si>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</si>
  <si>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</si>
  <si>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</si>
  <si>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</si>
  <si>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</si>
  <si>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</si>
  <si>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</si>
  <si>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</si>
  <si>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</si>
  <si>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</si>
  <si>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</si>
  <si>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</si>
  <si>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</si>
  <si>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</si>
  <si>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</si>
  <si>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</si>
  <si>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</si>
  <si>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</si>
  <si>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</si>
  <si>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</si>
  <si>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</si>
  <si>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</si>
  <si>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</si>
  <si>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</si>
  <si>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</si>
  <si>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</si>
  <si>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</si>
  <si>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</si>
  <si>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</si>
  <si>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</si>
  <si>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</si>
  <si>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</si>
  <si>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</si>
  <si>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</si>
  <si>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</si>
  <si>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</si>
  <si>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</si>
  <si>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</si>
  <si>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</si>
  <si>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</si>
  <si>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</si>
  <si>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</si>
  <si>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</si>
  <si>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</si>
  <si>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</si>
  <si>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</si>
  <si>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</si>
  <si>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</si>
  <si>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</si>
  <si>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</si>
  <si>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</si>
  <si>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</si>
  <si>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</si>
  <si>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</si>
  <si>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</si>
  <si>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</si>
  <si>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</si>
  <si>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</si>
  <si>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</si>
  <si>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</si>
  <si>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</si>
  <si>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</si>
  <si>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</si>
  <si>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</si>
  <si>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</si>
  <si>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</si>
  <si>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</si>
  <si>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</si>
  <si>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</si>
  <si>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</si>
  <si>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</si>
  <si>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</si>
  <si>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</si>
  <si>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</si>
  <si>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</si>
  <si>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</si>
  <si>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</si>
  <si>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</si>
  <si>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</si>
  <si>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</si>
  <si>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</si>
  <si>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</si>
  <si>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</si>
  <si>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</si>
  <si>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</si>
  <si>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</si>
  <si>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</si>
  <si>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</si>
  <si>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</si>
  <si>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</si>
  <si>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</si>
  <si>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</si>
  <si>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</si>
  <si>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</si>
  <si>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</si>
  <si>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</si>
  <si>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</si>
  <si>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</si>
  <si>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</si>
  <si>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</si>
  <si>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</si>
  <si>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</si>
  <si>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</si>
  <si>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</si>
  <si>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</si>
  <si>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</si>
  <si>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</si>
  <si>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</si>
  <si>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</si>
  <si>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</si>
  <si>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</si>
  <si>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</si>
  <si>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</si>
  <si>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</si>
  <si>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</si>
  <si>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</si>
  <si>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</si>
  <si>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</si>
  <si>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</si>
  <si>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</si>
  <si>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</si>
  <si>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</si>
  <si>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</si>
  <si>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</si>
  <si>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</si>
  <si>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</si>
  <si>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</si>
  <si>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</si>
  <si>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</si>
  <si>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</si>
  <si>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</si>
  <si>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</si>
  <si>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</si>
  <si>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</si>
  <si>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</si>
  <si>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</si>
  <si>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</si>
  <si>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</si>
  <si>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</si>
  <si>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</si>
  <si>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</si>
  <si>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</si>
  <si>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</si>
  <si>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</si>
  <si>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</si>
  <si>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</si>
  <si>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</si>
  <si>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</si>
  <si>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</si>
  <si>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</si>
  <si>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</si>
  <si>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</si>
  <si>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</si>
  <si>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</si>
  <si>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</si>
  <si>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</si>
  <si>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</si>
  <si>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</si>
  <si>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</si>
  <si>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</si>
  <si>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</si>
  <si>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</si>
  <si>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</si>
  <si>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</si>
  <si>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</si>
  <si>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</si>
  <si>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</si>
  <si>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</si>
  <si>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</si>
  <si>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</si>
  <si>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</si>
  <si>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</si>
  <si>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</si>
  <si>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</si>
  <si>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</si>
  <si>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</si>
  <si>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</si>
  <si>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</si>
  <si>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</si>
  <si>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</si>
  <si>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</si>
  <si>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</si>
  <si>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</si>
  <si>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</si>
  <si>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</si>
  <si>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</si>
  <si>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</si>
  <si>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</si>
  <si>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</si>
  <si>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</si>
  <si>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</si>
  <si>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</si>
  <si>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</si>
  <si>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</si>
  <si>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</si>
  <si>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</si>
  <si>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</si>
  <si>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</si>
  <si>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</si>
  <si>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</si>
  <si>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</si>
  <si>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</si>
  <si>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</si>
  <si>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</si>
  <si>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</si>
  <si>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</si>
  <si>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</si>
  <si>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</si>
  <si>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</si>
  <si>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</si>
  <si>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</si>
  <si>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</si>
  <si>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</si>
  <si>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</si>
  <si>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</si>
  <si>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</si>
  <si>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</si>
  <si>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</si>
  <si>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</si>
  <si>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</si>
  <si>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</si>
  <si>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</si>
  <si>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</si>
  <si>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</si>
  <si>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</si>
  <si>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</si>
  <si>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</si>
  <si>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</si>
  <si>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</si>
  <si>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</si>
  <si>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</si>
  <si>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</si>
  <si>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</si>
  <si>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</si>
  <si>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</si>
  <si>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</si>
  <si>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</si>
  <si>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</si>
  <si>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</si>
  <si>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</si>
  <si>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</si>
  <si>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</si>
  <si>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</si>
  <si>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</si>
  <si>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</si>
  <si>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</si>
  <si>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</si>
  <si>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</si>
  <si>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</si>
  <si>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</si>
  <si>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</si>
  <si>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</si>
  <si>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</si>
  <si>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</si>
  <si>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</si>
  <si>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</si>
  <si>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</si>
  <si>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</si>
  <si>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</si>
  <si>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</si>
  <si>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</si>
  <si>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</si>
  <si>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</si>
  <si>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</si>
  <si>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</si>
  <si>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</si>
  <si>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</si>
  <si>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</si>
  <si>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</si>
  <si>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</si>
  <si>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</si>
  <si>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</si>
  <si>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</si>
  <si>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</si>
  <si>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</si>
  <si>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</si>
  <si>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</si>
  <si>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</si>
  <si>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</si>
  <si>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</si>
  <si>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</si>
  <si>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</si>
  <si>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</si>
  <si>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</si>
  <si>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</si>
  <si>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</si>
  <si>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</si>
  <si>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</si>
  <si>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</si>
  <si>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</si>
  <si>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</si>
  <si>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</si>
  <si>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</si>
  <si>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</si>
  <si>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</si>
  <si>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</si>
  <si>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</si>
  <si>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</si>
  <si>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</si>
  <si>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</si>
  <si>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</si>
  <si>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</si>
  <si>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</si>
  <si>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</si>
  <si>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</si>
  <si>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</si>
  <si>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</si>
  <si>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</si>
  <si>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</si>
  <si>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</si>
  <si>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</si>
  <si>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</si>
  <si>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</si>
  <si>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</si>
  <si>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</si>
  <si>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</si>
  <si>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</si>
  <si>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</si>
  <si>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</si>
  <si>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</si>
  <si>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</si>
  <si>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</si>
  <si>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</si>
  <si>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</si>
  <si>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</si>
  <si>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</si>
  <si>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</si>
  <si>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</si>
  <si>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</si>
  <si>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</si>
  <si>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</si>
  <si>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</si>
  <si>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</si>
  <si>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</si>
  <si>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</si>
  <si>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</si>
  <si>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</si>
  <si>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</si>
  <si>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</si>
  <si>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</si>
  <si>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</si>
  <si>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</si>
  <si>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</si>
  <si>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</si>
  <si>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</si>
  <si>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</si>
  <si>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</si>
  <si>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</si>
  <si>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</si>
  <si>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</si>
  <si>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</si>
  <si>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</si>
  <si>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</si>
  <si>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</si>
  <si>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</si>
  <si>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</si>
  <si>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</si>
  <si>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</si>
  <si>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</si>
  <si>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</si>
  <si>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</si>
  <si>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</si>
  <si>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</si>
  <si>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</si>
  <si>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</si>
  <si>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</si>
  <si>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</si>
  <si>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</si>
  <si>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</si>
  <si>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</si>
  <si>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</si>
  <si>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</si>
  <si>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</si>
  <si>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</si>
  <si>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</si>
  <si>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</si>
  <si>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</si>
  <si>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</si>
  <si>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</si>
  <si>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</si>
  <si>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</si>
  <si>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</si>
  <si>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</si>
  <si>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</si>
  <si>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</si>
  <si>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</si>
  <si>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</si>
  <si>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</si>
  <si>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</si>
  <si>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</si>
  <si>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</si>
  <si>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</si>
  <si>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</si>
  <si>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</si>
  <si>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</si>
  <si>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</si>
  <si>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</si>
  <si>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</si>
  <si>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</si>
  <si>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</si>
  <si>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</si>
  <si>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</si>
  <si>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</si>
  <si>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</si>
  <si>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</si>
  <si>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</si>
  <si>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</si>
  <si>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</si>
  <si>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</si>
  <si>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</si>
  <si>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</si>
  <si>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</si>
  <si>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</si>
  <si>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</si>
  <si>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</si>
  <si>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</si>
  <si>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</si>
  <si>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</si>
  <si>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</si>
  <si>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</si>
  <si>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</si>
  <si>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</si>
  <si>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</si>
  <si>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</si>
  <si>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</si>
  <si>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</si>
  <si>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</si>
  <si>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</si>
  <si>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</si>
  <si>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</si>
  <si>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</si>
  <si>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</si>
  <si>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</si>
  <si>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</si>
  <si>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</si>
  <si>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</si>
  <si>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</si>
  <si>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</si>
  <si>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</si>
  <si>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</si>
  <si>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</si>
  <si>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</si>
  <si>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</si>
  <si>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</si>
  <si>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</si>
  <si>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</si>
  <si>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</si>
  <si>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</si>
  <si>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</si>
  <si>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</si>
  <si>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</si>
  <si>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</si>
  <si>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</si>
  <si>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</si>
  <si>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</si>
  <si>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</si>
  <si>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</si>
  <si>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</si>
  <si>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</si>
  <si>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</si>
  <si>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</si>
  <si>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</si>
  <si>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</si>
  <si>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</si>
  <si>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</si>
  <si>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</si>
  <si>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</si>
  <si>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</si>
  <si>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</si>
  <si>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</si>
  <si>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</si>
  <si>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</si>
  <si>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</si>
  <si>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</si>
  <si>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</si>
  <si>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</si>
  <si>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</si>
  <si>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</si>
  <si>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</si>
  <si>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</si>
  <si>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</si>
  <si>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</si>
  <si>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</si>
  <si>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</si>
  <si>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</si>
  <si>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</si>
  <si>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</si>
  <si>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</si>
  <si>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</si>
  <si>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</si>
  <si>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</si>
  <si>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</si>
  <si>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</si>
  <si>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</si>
  <si>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</si>
  <si>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</si>
  <si>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</si>
  <si>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</si>
  <si>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</si>
  <si>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</si>
  <si>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</si>
  <si>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</si>
  <si>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</si>
  <si>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</si>
  <si>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</si>
  <si>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</si>
  <si>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</si>
  <si>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</si>
  <si>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</si>
  <si>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</si>
  <si>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</si>
  <si>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</si>
  <si>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</si>
  <si>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</si>
  <si>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</si>
  <si>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</si>
  <si>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</si>
  <si>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</si>
  <si>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</si>
  <si>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</si>
  <si>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</si>
  <si>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</si>
  <si>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</si>
  <si>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</si>
  <si>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</si>
  <si>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</si>
  <si>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</si>
  <si>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</si>
  <si>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</si>
  <si>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</si>
  <si>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</si>
  <si>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</si>
  <si>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</si>
  <si>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</si>
  <si>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</si>
  <si>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</si>
  <si>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</si>
  <si>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</si>
  <si>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</si>
  <si>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</si>
  <si>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</si>
  <si>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</si>
  <si>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</si>
  <si>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</si>
  <si>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</si>
  <si>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</si>
  <si>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</si>
  <si>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</si>
  <si>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</si>
  <si>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</si>
  <si>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</si>
  <si>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</si>
  <si>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</si>
  <si>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</si>
  <si>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</si>
  <si>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</si>
  <si>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</si>
  <si>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</si>
  <si>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</si>
  <si>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</si>
  <si>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</si>
  <si>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</si>
  <si>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</si>
  <si>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</si>
  <si>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</si>
  <si>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</si>
  <si>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</si>
  <si>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</si>
  <si>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</si>
  <si>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</si>
  <si>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</si>
  <si>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</si>
  <si>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</si>
  <si>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</si>
  <si>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</si>
  <si>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</si>
  <si>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</si>
  <si>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</si>
  <si>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</si>
  <si>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</si>
  <si>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</si>
  <si>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</si>
  <si>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</si>
  <si>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</si>
  <si>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</si>
  <si>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</si>
  <si>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</si>
  <si>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</si>
  <si>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</si>
  <si>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</si>
  <si>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</si>
  <si>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</si>
  <si>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</si>
  <si>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</si>
  <si>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</si>
  <si>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</si>
  <si>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</si>
  <si>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</si>
  <si>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</si>
  <si>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</si>
  <si>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</si>
  <si>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</si>
  <si>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</si>
  <si>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</si>
  <si>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</si>
  <si>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</si>
  <si>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</si>
  <si>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</si>
  <si>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</si>
  <si>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</si>
  <si>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</si>
  <si>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</si>
  <si>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</si>
  <si>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</si>
  <si>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</si>
  <si>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</si>
  <si>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</si>
  <si>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</si>
  <si>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</si>
  <si>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</si>
  <si>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</si>
  <si>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</si>
  <si>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</si>
  <si>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</si>
  <si>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</si>
  <si>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</si>
  <si>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</si>
  <si>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</si>
  <si>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</si>
  <si>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</si>
  <si>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</si>
  <si>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</si>
  <si>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</si>
  <si>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</si>
  <si>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</si>
  <si>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</si>
  <si>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</si>
  <si>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</si>
  <si>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</si>
  <si>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</si>
  <si>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</si>
  <si>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</si>
  <si>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</si>
  <si>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</si>
  <si>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</si>
  <si>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</si>
  <si>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</si>
  <si>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</si>
  <si>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</si>
  <si>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</si>
  <si>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</si>
  <si>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</si>
  <si>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</si>
  <si>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</si>
  <si>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</si>
  <si>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</si>
  <si>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</si>
  <si>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</si>
  <si>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</si>
  <si>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</si>
  <si>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</si>
  <si>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</si>
  <si>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</si>
  <si>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</si>
  <si>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</si>
  <si>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</si>
  <si>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</si>
  <si>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</si>
  <si>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</si>
  <si>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</si>
  <si>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</si>
  <si>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</si>
  <si>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</si>
  <si>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</si>
  <si>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</si>
  <si>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</si>
  <si>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</si>
  <si>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</si>
  <si>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</si>
  <si>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</si>
  <si>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</si>
  <si>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</si>
  <si>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</si>
  <si>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</si>
  <si>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</si>
  <si>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</si>
  <si>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</si>
  <si>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</si>
  <si>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</si>
  <si>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</si>
  <si>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</si>
  <si>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</si>
  <si>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</si>
  <si>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</si>
  <si>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</si>
  <si>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</si>
  <si>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</si>
  <si>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</si>
  <si>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</si>
  <si>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</si>
  <si>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</si>
  <si>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</si>
  <si>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</si>
  <si>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</si>
  <si>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</si>
  <si>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</si>
  <si>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</si>
  <si>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</si>
  <si>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</si>
  <si>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</si>
  <si>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</si>
  <si>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</si>
  <si>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</si>
  <si>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</si>
  <si>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</si>
  <si>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</si>
  <si>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</si>
  <si>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</si>
  <si>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</si>
  <si>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</si>
  <si>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</si>
  <si>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</si>
  <si>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</si>
  <si>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</si>
  <si>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</si>
  <si>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</si>
  <si>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</si>
  <si>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</si>
  <si>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</si>
  <si>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</si>
  <si>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</si>
  <si>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</si>
  <si>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</si>
  <si>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</si>
  <si>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</si>
  <si>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</si>
  <si>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</si>
  <si>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</si>
  <si>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</si>
  <si>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</si>
  <si>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</si>
  <si>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</si>
  <si>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</si>
  <si>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</si>
  <si>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</si>
  <si>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</si>
  <si>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</si>
  <si>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</si>
  <si>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</si>
  <si>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</si>
  <si>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</si>
  <si>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</si>
  <si>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</si>
  <si>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</si>
  <si>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</si>
  <si>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</si>
  <si>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</si>
  <si>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</si>
  <si>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</si>
  <si>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</si>
  <si>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</si>
  <si>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</si>
  <si>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</si>
  <si>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</si>
  <si>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</si>
  <si>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</si>
  <si>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</si>
  <si>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</si>
  <si>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</si>
  <si>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</si>
  <si>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</si>
  <si>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</si>
  <si>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</si>
  <si>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</si>
  <si>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</si>
  <si>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</si>
  <si>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</si>
  <si>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</si>
  <si>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</si>
  <si>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</si>
  <si>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</si>
  <si>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</si>
  <si>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</si>
  <si>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</si>
  <si>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</si>
  <si>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</si>
  <si>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</si>
  <si>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</si>
  <si>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</si>
  <si>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</si>
  <si>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</si>
  <si>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</si>
  <si>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</si>
  <si>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</si>
  <si>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</si>
  <si>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</si>
  <si>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</si>
  <si>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</si>
  <si>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</si>
  <si>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</si>
  <si>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</si>
  <si>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</si>
  <si>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</si>
  <si>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</si>
  <si>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</si>
  <si>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</si>
  <si>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</si>
  <si>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</si>
  <si>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</si>
  <si>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</si>
  <si>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</si>
  <si>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</si>
  <si>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</si>
  <si>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</si>
  <si>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</si>
  <si>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</si>
  <si>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</si>
  <si>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</si>
  <si>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</si>
  <si>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</si>
  <si>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</si>
  <si>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</si>
  <si>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</si>
  <si>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</si>
  <si>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</si>
  <si>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</si>
  <si>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</si>
  <si>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</si>
  <si>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</si>
  <si>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</si>
  <si>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</si>
  <si>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</si>
  <si>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</si>
  <si>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</si>
  <si>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</si>
  <si>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</si>
  <si>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</si>
  <si>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</si>
  <si>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</si>
  <si>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</si>
  <si>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</si>
  <si>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</si>
  <si>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</si>
  <si>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</si>
  <si>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</si>
  <si>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</si>
  <si>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</si>
  <si>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</si>
  <si>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</si>
  <si>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</si>
  <si>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</si>
  <si>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</si>
  <si>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</si>
  <si>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</si>
  <si>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</si>
  <si>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</si>
  <si>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</si>
  <si>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</si>
  <si>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</si>
  <si>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</si>
  <si>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</si>
  <si>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</si>
  <si>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</si>
  <si>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</si>
  <si>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</si>
  <si>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</si>
  <si>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</si>
  <si>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</si>
  <si>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</si>
  <si>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</si>
  <si>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</si>
  <si>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</si>
  <si>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</si>
  <si>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</si>
  <si>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</si>
  <si>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</si>
  <si>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</si>
  <si>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</si>
  <si>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</si>
  <si>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</si>
  <si>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</si>
  <si>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</si>
  <si>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</si>
  <si>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</si>
  <si>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</si>
  <si>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</si>
  <si>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</si>
  <si>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</si>
  <si>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</si>
  <si>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</si>
  <si>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</si>
  <si>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</si>
  <si>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</si>
  <si>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</si>
  <si>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</si>
  <si>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</si>
  <si>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</si>
  <si>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</si>
  <si>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</si>
  <si>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</si>
  <si>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</si>
  <si>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</si>
  <si>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</si>
  <si>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</si>
  <si>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</si>
  <si>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</si>
  <si>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</si>
  <si>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</si>
  <si>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</si>
  <si>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</si>
  <si>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</si>
  <si>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</si>
  <si>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</si>
  <si>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</si>
  <si>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</si>
  <si>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</si>
  <si>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</si>
  <si>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</si>
  <si>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</si>
  <si>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</si>
  <si>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</si>
  <si>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</si>
  <si>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</si>
  <si>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</si>
  <si>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</si>
  <si>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</si>
  <si>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</si>
  <si>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</si>
  <si>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</si>
  <si>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</si>
  <si>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</si>
  <si>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</si>
  <si>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</si>
  <si>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</si>
  <si>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</si>
  <si>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</si>
  <si>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</si>
  <si>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</si>
  <si>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</si>
  <si>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</si>
  <si>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</si>
  <si>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</si>
  <si>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</si>
  <si>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</si>
  <si>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</si>
  <si>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</si>
  <si>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</si>
  <si>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</si>
  <si>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</si>
  <si>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</si>
  <si>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</si>
  <si>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</si>
  <si>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</si>
  <si>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</si>
  <si>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</si>
  <si>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</si>
  <si>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</si>
  <si>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</si>
  <si>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</si>
  <si>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</si>
  <si>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</si>
  <si>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</si>
  <si>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</si>
  <si>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</si>
  <si>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</si>
  <si>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</si>
  <si>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</si>
  <si>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</si>
  <si>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</si>
  <si>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</si>
  <si>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</si>
  <si>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</si>
  <si>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</si>
  <si>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</si>
  <si>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</si>
  <si>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</si>
  <si>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</si>
  <si>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</si>
  <si>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</si>
  <si>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</si>
  <si>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</si>
  <si>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</si>
  <si>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</si>
  <si>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</si>
  <si>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</si>
  <si>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</si>
  <si>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</si>
  <si>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</si>
  <si>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</si>
  <si>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</si>
  <si>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</si>
  <si>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</si>
  <si>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</si>
  <si>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</si>
  <si>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</si>
  <si>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</si>
  <si>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</si>
  <si>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</si>
  <si>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</si>
  <si>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</si>
  <si>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</si>
  <si>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</si>
  <si>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</si>
  <si>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</si>
  <si>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</si>
  <si>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</si>
  <si>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</si>
  <si>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</si>
  <si>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</si>
  <si>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</si>
  <si>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</si>
  <si>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</si>
  <si>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</si>
  <si>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</si>
  <si>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</si>
  <si>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</si>
  <si>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</si>
  <si>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</si>
  <si>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</si>
  <si>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</si>
  <si>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</si>
  <si>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</si>
  <si>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</si>
  <si>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</si>
  <si>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</si>
  <si>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</si>
  <si>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</si>
  <si>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</si>
  <si>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</si>
  <si>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</si>
  <si>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</si>
  <si>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</si>
  <si>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</si>
  <si>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</si>
  <si>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</si>
  <si>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</si>
  <si>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</si>
  <si>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</si>
  <si>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</si>
  <si>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</si>
  <si>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</si>
  <si>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</si>
  <si>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</si>
  <si>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</si>
  <si>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</si>
  <si>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</si>
  <si>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</si>
  <si>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</si>
  <si>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</si>
  <si>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</si>
  <si>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</si>
  <si>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</si>
  <si>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</si>
  <si>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</si>
  <si>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</si>
  <si>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</si>
  <si>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</si>
  <si>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</si>
  <si>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</si>
  <si>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</si>
  <si>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</si>
  <si>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</si>
  <si>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</si>
  <si>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</si>
  <si>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</si>
  <si>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</si>
  <si>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</si>
  <si>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</si>
  <si>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</si>
  <si>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</si>
  <si>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</si>
  <si>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</si>
  <si>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</si>
  <si>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</si>
  <si>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</si>
  <si>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</si>
  <si>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</si>
  <si>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</si>
  <si>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</si>
  <si>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</si>
  <si>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</si>
  <si>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</si>
  <si>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</si>
  <si>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</si>
  <si>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</si>
  <si>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</si>
  <si>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</si>
  <si>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</si>
  <si>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</si>
  <si>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</si>
  <si>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</si>
  <si>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</si>
  <si>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</si>
  <si>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</si>
  <si>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</si>
  <si>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</si>
  <si>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</si>
  <si>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</si>
  <si>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</si>
  <si>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</si>
  <si>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</si>
  <si>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</si>
  <si>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</si>
  <si>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</si>
  <si>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</si>
  <si>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</si>
  <si>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</si>
  <si>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</si>
  <si>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</si>
  <si>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</si>
  <si>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</si>
  <si>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</si>
  <si>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</si>
  <si>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</si>
  <si>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</si>
  <si>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</si>
  <si>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</si>
  <si>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</si>
  <si>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</si>
  <si>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</si>
  <si>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</si>
  <si>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</si>
  <si>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</si>
  <si>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</si>
  <si>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</si>
  <si>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</si>
  <si>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</si>
  <si>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</si>
  <si>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</si>
  <si>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</si>
  <si>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</si>
  <si>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</si>
  <si>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</si>
  <si>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</si>
  <si>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</si>
  <si>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</si>
  <si>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</si>
  <si>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</si>
  <si>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</si>
  <si>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</si>
  <si>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</si>
  <si>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</si>
  <si>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</si>
  <si>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</si>
  <si>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</si>
  <si>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</si>
  <si>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</si>
  <si>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</si>
  <si>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</si>
  <si>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</si>
  <si>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</si>
  <si>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</si>
  <si>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</si>
  <si>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</si>
  <si>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</si>
  <si>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</si>
  <si>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</si>
  <si>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</si>
  <si>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</si>
  <si>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</si>
  <si>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</si>
  <si>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</si>
  <si>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</si>
  <si>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</si>
  <si>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</si>
  <si>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</si>
  <si>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</si>
  <si>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</si>
  <si>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</si>
  <si>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</si>
  <si>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</si>
  <si>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</si>
  <si>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</si>
  <si>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</si>
  <si>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</si>
  <si>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</si>
  <si>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</si>
  <si>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</si>
  <si>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</si>
  <si>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</si>
  <si>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</si>
  <si>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</si>
  <si>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</si>
  <si>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</si>
  <si>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</si>
  <si>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</si>
  <si>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</si>
  <si>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</si>
  <si>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</si>
  <si>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</si>
  <si>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</si>
  <si>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</si>
  <si>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</si>
  <si>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</si>
  <si>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</si>
  <si>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</si>
  <si>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</si>
  <si>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</si>
  <si>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</si>
  <si>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</si>
  <si>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</si>
  <si>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</si>
  <si>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</si>
  <si>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</si>
  <si>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</si>
  <si>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</si>
  <si>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</si>
  <si>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</si>
  <si>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</si>
  <si>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</si>
  <si>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</si>
  <si>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</si>
  <si>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</si>
  <si>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</si>
  <si>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</si>
  <si>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</si>
  <si>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</si>
  <si>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</si>
  <si>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</si>
  <si>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</si>
  <si>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</si>
  <si>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</si>
  <si>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</si>
  <si>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</si>
  <si>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</si>
  <si>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</si>
  <si>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</si>
  <si>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</si>
  <si>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</si>
  <si>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</si>
  <si>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</si>
  <si>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</si>
  <si>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</si>
  <si>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</si>
  <si>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</si>
  <si>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</si>
  <si>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</si>
  <si>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</si>
  <si>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</si>
  <si>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</si>
  <si>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</si>
  <si>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</si>
  <si>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</si>
  <si>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</si>
  <si>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</si>
  <si>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</si>
  <si>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</si>
  <si>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</si>
  <si>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</si>
  <si>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</si>
  <si>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</si>
  <si>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</si>
  <si>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</si>
  <si>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</si>
  <si>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</si>
  <si>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</si>
  <si>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</si>
  <si>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</si>
  <si>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</si>
  <si>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</si>
  <si>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</si>
  <si>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</si>
  <si>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</si>
  <si>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</si>
  <si>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</si>
  <si>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</si>
  <si>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</si>
  <si>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</si>
  <si>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</si>
  <si>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</si>
  <si>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</si>
  <si>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</si>
  <si>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</si>
  <si>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</si>
  <si>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</si>
  <si>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</si>
  <si>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</si>
  <si>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</si>
  <si>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</si>
  <si>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</si>
  <si>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</si>
  <si>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</si>
  <si>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</si>
  <si>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</si>
  <si>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</si>
  <si>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</si>
  <si>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</si>
  <si>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</si>
  <si>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</si>
  <si>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</si>
  <si>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</si>
  <si>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</si>
  <si>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</si>
  <si>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</si>
  <si>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</si>
  <si>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</si>
  <si>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</si>
  <si>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</si>
  <si>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</si>
  <si>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</si>
  <si>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</si>
  <si>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</si>
  <si>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</si>
  <si>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</si>
  <si>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</si>
  <si>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</si>
  <si>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</si>
  <si>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</si>
  <si>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</si>
  <si>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</si>
  <si>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</si>
  <si>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</si>
  <si>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</si>
  <si>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</si>
  <si>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</si>
  <si>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</si>
  <si>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</si>
  <si>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</si>
  <si>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</si>
  <si>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</si>
  <si>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</si>
  <si>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</si>
  <si>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</si>
  <si>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</si>
  <si>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</si>
  <si>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</si>
  <si>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</si>
  <si>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</si>
  <si>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</si>
  <si>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</si>
  <si>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</si>
  <si>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</si>
  <si>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</si>
  <si>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</si>
  <si>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</si>
  <si>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</si>
  <si>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</si>
  <si>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</si>
  <si>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</si>
  <si>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</si>
  <si>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</si>
  <si>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</si>
  <si>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</si>
  <si>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</si>
  <si>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</si>
  <si>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</si>
  <si>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</si>
  <si>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</si>
  <si>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</si>
  <si>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</si>
  <si>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</si>
  <si>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</si>
  <si>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</si>
  <si>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</si>
  <si>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</si>
  <si>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</si>
  <si>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</si>
  <si>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</si>
  <si>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</si>
  <si>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</si>
  <si>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</si>
  <si>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</si>
  <si>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</si>
  <si>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</si>
  <si>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</si>
  <si>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</si>
  <si>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</si>
  <si>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</si>
  <si>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</si>
  <si>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</si>
  <si>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</si>
  <si>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</si>
  <si>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</si>
  <si>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</si>
  <si>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</si>
  <si>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</si>
  <si>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</si>
  <si>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</si>
  <si>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</si>
  <si>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</si>
  <si>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</si>
  <si>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</si>
  <si>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</si>
  <si>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</si>
  <si>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</si>
  <si>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</si>
  <si>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</si>
  <si>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</si>
  <si>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</si>
  <si>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</si>
  <si>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</si>
  <si>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</si>
  <si>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</si>
  <si>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</si>
  <si>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</si>
  <si>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</si>
  <si>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</si>
  <si>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</si>
  <si>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</si>
  <si>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</si>
  <si>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</si>
  <si>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</si>
  <si>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</si>
  <si>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</si>
  <si>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</si>
  <si>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</si>
  <si>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</si>
  <si>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</si>
  <si>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</si>
  <si>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</si>
  <si>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</si>
  <si>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</si>
  <si>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</si>
  <si>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</si>
  <si>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</si>
  <si>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</si>
  <si>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</si>
  <si>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</si>
  <si>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</si>
  <si>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</si>
  <si>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</si>
  <si>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</si>
  <si>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</si>
  <si>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</si>
  <si>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</si>
  <si>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</si>
  <si>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</si>
  <si>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</si>
  <si>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</si>
  <si>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</si>
  <si>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</si>
  <si>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</si>
  <si>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</si>
  <si>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</si>
  <si>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</si>
  <si>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</si>
  <si>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</si>
  <si>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</si>
  <si>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</si>
  <si>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</si>
  <si>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</si>
  <si>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</si>
  <si>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</si>
  <si>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</si>
  <si>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</si>
  <si>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</si>
  <si>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</si>
  <si>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</si>
  <si>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</si>
  <si>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</si>
  <si>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</si>
  <si>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</si>
  <si>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</si>
  <si>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</si>
  <si>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</si>
  <si>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</si>
  <si>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</si>
  <si>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</si>
  <si>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</si>
  <si>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</si>
  <si>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</si>
  <si>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</si>
  <si>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</si>
  <si>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</si>
  <si>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</si>
  <si>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</si>
  <si>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</si>
  <si>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</si>
  <si>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</si>
  <si>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</si>
  <si>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</si>
  <si>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</si>
  <si>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</si>
  <si>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</si>
  <si>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</si>
  <si>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</si>
  <si>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</si>
  <si>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</si>
  <si>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</si>
  <si>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</si>
  <si>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</si>
  <si>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</si>
  <si>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</si>
  <si>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</si>
  <si>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</si>
  <si>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</si>
  <si>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</si>
  <si>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</si>
  <si>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</si>
  <si>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</si>
  <si>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</si>
  <si>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</si>
  <si>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</si>
  <si>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</si>
  <si>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</si>
  <si>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</si>
  <si>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</si>
  <si>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</si>
  <si>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</si>
  <si>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</si>
  <si>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</si>
  <si>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</si>
  <si>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</si>
  <si>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</si>
  <si>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</si>
  <si>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</si>
  <si>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</si>
  <si>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</si>
  <si>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</si>
  <si>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</si>
  <si>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</si>
  <si>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</si>
  <si>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</si>
  <si>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</si>
  <si>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</si>
  <si>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</si>
  <si>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</si>
  <si>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</si>
  <si>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</si>
  <si>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</si>
  <si>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</si>
  <si>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</si>
  <si>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</si>
  <si>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</si>
  <si>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</si>
  <si>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</si>
  <si>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</si>
  <si>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</si>
  <si>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</si>
  <si>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</si>
  <si>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</si>
  <si>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</si>
  <si>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</si>
  <si>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</si>
  <si>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</si>
  <si>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</si>
  <si>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</si>
  <si>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</si>
  <si>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</si>
  <si>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</si>
  <si>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</si>
  <si>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</si>
  <si>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</si>
  <si>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</si>
  <si>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</si>
  <si>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</si>
  <si>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</si>
  <si>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</si>
  <si>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</si>
  <si>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</si>
  <si>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</si>
  <si>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</si>
  <si>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</si>
  <si>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</si>
  <si>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</si>
  <si>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</si>
  <si>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</si>
  <si>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</si>
  <si>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</si>
  <si>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</si>
  <si>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</si>
  <si>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</si>
  <si>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</si>
  <si>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</si>
  <si>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</si>
  <si>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</si>
  <si>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</si>
  <si>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</si>
  <si>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</si>
  <si>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</si>
  <si>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</si>
  <si>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</si>
  <si>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</si>
  <si>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</si>
  <si>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</si>
  <si>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</si>
  <si>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</si>
  <si>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</si>
  <si>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</si>
  <si>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</si>
  <si>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</si>
  <si>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</si>
  <si>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</si>
  <si>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</si>
  <si>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</si>
  <si>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</si>
  <si>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</si>
  <si>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</si>
  <si>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</si>
  <si>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</si>
  <si>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</si>
  <si>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</si>
  <si>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</si>
  <si>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</si>
  <si>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</si>
  <si>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</si>
  <si>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</si>
  <si>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</si>
  <si>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</si>
  <si>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</si>
  <si>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</si>
  <si>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</si>
  <si>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</si>
  <si>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</si>
  <si>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</si>
  <si>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</si>
  <si>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</si>
  <si>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</si>
  <si>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</si>
  <si>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</si>
  <si>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</si>
  <si>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</si>
  <si>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</si>
  <si>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</si>
  <si>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</si>
  <si>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</si>
  <si>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</si>
  <si>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</si>
  <si>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</si>
  <si>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</si>
  <si>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</si>
  <si>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</si>
  <si>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</si>
  <si>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</si>
  <si>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</si>
  <si>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</si>
  <si>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</si>
  <si>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</si>
  <si>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</si>
  <si>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</si>
  <si>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</si>
  <si>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</si>
  <si>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</si>
  <si>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</si>
  <si>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</si>
  <si>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</si>
  <si>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</si>
  <si>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</si>
  <si>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</si>
  <si>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</si>
  <si>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</si>
  <si>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</si>
  <si>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</si>
  <si>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</si>
  <si>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</si>
  <si>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</si>
  <si>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</si>
  <si>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</si>
  <si>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</si>
  <si>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</si>
  <si>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</si>
  <si>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</si>
  <si>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</si>
  <si>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</si>
  <si>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</si>
  <si>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</si>
  <si>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</si>
  <si>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</si>
  <si>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</si>
  <si>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</si>
  <si>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</si>
  <si>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</si>
  <si>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</si>
  <si>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</si>
  <si>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</si>
  <si>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</si>
  <si>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</si>
  <si>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</si>
  <si>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</si>
  <si>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</si>
  <si>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</si>
  <si>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</si>
  <si>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</si>
  <si>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</si>
  <si>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</si>
  <si>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</si>
  <si>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</si>
  <si>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</si>
  <si>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</si>
  <si>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</si>
  <si>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</si>
  <si>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</si>
  <si>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</si>
  <si>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</si>
  <si>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</si>
  <si>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</si>
  <si>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</si>
  <si>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</si>
  <si>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</si>
  <si>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</si>
  <si>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</si>
  <si>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</si>
  <si>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</si>
  <si>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</si>
  <si>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</si>
  <si>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</si>
  <si>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</si>
  <si>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</si>
  <si>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</si>
  <si>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</si>
  <si>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</si>
  <si>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</si>
  <si>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</si>
  <si>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</si>
  <si>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</si>
  <si>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</si>
  <si>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</si>
  <si>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</si>
  <si>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</si>
  <si>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</si>
  <si>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</si>
  <si>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</si>
  <si>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</si>
  <si>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</si>
  <si>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</si>
  <si>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</si>
  <si>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</si>
  <si>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</si>
  <si>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</si>
  <si>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</si>
  <si>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</si>
  <si>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</si>
  <si>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</si>
  <si>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</si>
  <si>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</si>
  <si>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</si>
  <si>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</si>
  <si>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</si>
  <si>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</si>
  <si>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</si>
  <si>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</si>
  <si>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</si>
  <si>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</si>
  <si>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</si>
  <si>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</si>
  <si>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</si>
  <si>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</si>
  <si>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</si>
  <si>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</si>
  <si>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</si>
  <si>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</si>
  <si>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</si>
  <si>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</si>
  <si>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</si>
  <si>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</si>
  <si>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</si>
  <si>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</si>
  <si>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</si>
  <si>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</si>
  <si>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</si>
  <si>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</si>
  <si>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</si>
  <si>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</si>
  <si>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</si>
  <si>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</si>
  <si>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</si>
  <si>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</si>
  <si>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</si>
  <si>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</si>
  <si>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</si>
  <si>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</si>
  <si>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</si>
  <si>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</si>
  <si>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</si>
  <si>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</si>
  <si>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</si>
  <si>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</si>
  <si>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</si>
  <si>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</si>
  <si>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</si>
  <si>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</si>
  <si>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</si>
  <si>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</si>
  <si>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</si>
  <si>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</si>
  <si>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</si>
  <si>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</si>
  <si>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</si>
  <si>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</si>
  <si>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</si>
  <si>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</si>
  <si>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</si>
  <si>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</si>
  <si>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</si>
  <si>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</si>
  <si>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</si>
  <si>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</si>
  <si>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</si>
  <si>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</si>
  <si>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</si>
  <si>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</si>
  <si>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</si>
  <si>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</si>
  <si>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</si>
  <si>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</si>
  <si>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</si>
  <si>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</si>
  <si>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</si>
  <si>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</si>
  <si>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</si>
  <si>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</si>
  <si>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</si>
  <si>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</si>
  <si>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</si>
  <si>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</si>
  <si>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</si>
  <si>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</si>
  <si>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</si>
  <si>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</si>
  <si>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</si>
  <si>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</si>
  <si>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</si>
  <si>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</si>
  <si>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</si>
  <si>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</si>
  <si>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</si>
  <si>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</si>
  <si>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</si>
  <si>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</si>
  <si>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</si>
  <si>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</si>
  <si>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</si>
  <si>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</si>
  <si>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</si>
  <si>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</si>
  <si>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</si>
  <si>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</si>
  <si>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</si>
  <si>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</si>
  <si>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</si>
  <si>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</si>
  <si>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</si>
  <si>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</si>
  <si>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</si>
  <si>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</si>
  <si>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</si>
  <si>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</si>
  <si>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</si>
  <si>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</si>
  <si>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</si>
  <si>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</si>
  <si>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</si>
  <si>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</si>
  <si>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</si>
  <si>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</si>
  <si>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</si>
  <si>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</si>
  <si>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</si>
  <si>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</si>
  <si>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</si>
  <si>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</si>
  <si>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</si>
  <si>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</si>
  <si>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</si>
  <si>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</si>
  <si>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</si>
  <si>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</si>
  <si>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</si>
  <si>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</si>
  <si>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</si>
  <si>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</si>
  <si>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</si>
  <si>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</si>
  <si>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</si>
  <si>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</si>
  <si>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</si>
  <si>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</si>
  <si>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</si>
  <si>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</si>
  <si>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</si>
  <si>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</si>
  <si>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</si>
  <si>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</si>
  <si>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</si>
  <si>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</si>
  <si>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</si>
  <si>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</si>
  <si>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</si>
  <si>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</si>
  <si>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</si>
  <si>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</si>
  <si>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</si>
  <si>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</si>
  <si>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</si>
  <si>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</si>
  <si>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</si>
  <si>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</si>
  <si>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</si>
  <si>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</si>
  <si>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</si>
  <si>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</si>
  <si>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</si>
  <si>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</si>
  <si>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</si>
  <si>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</si>
  <si>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</si>
  <si>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</si>
  <si>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</si>
  <si>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</si>
  <si>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</si>
  <si>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</si>
  <si>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</si>
  <si>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</si>
  <si>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</si>
  <si>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</si>
  <si>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</si>
  <si>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</si>
  <si>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</si>
  <si>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</si>
  <si>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</si>
  <si>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</si>
  <si>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</si>
  <si>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</si>
  <si>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</si>
  <si>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</si>
  <si>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</si>
  <si>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</si>
  <si>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</si>
  <si>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</si>
  <si>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</si>
  <si>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</si>
  <si>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</si>
  <si>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</si>
  <si>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</si>
  <si>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</si>
  <si>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</si>
  <si>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</si>
  <si>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</si>
  <si>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</si>
  <si>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</si>
  <si>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</si>
  <si>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</si>
  <si>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</si>
  <si>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</si>
  <si>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</si>
  <si>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</si>
  <si>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</si>
  <si>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</si>
  <si>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</si>
  <si>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</si>
  <si>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</si>
  <si>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</si>
  <si>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</si>
  <si>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</si>
  <si>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</si>
  <si>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</si>
  <si>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</si>
  <si>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</si>
  <si>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</si>
  <si>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</si>
  <si>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</si>
  <si>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</si>
  <si>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</si>
  <si>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</si>
  <si>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</si>
  <si>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</si>
  <si>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</si>
  <si>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</si>
  <si>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</si>
  <si>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</si>
  <si>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</si>
  <si>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</si>
  <si>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</si>
  <si>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</si>
  <si>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</si>
  <si>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</si>
  <si>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</si>
  <si>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</si>
  <si>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</si>
  <si>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</si>
  <si>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</si>
  <si>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</si>
  <si>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</si>
  <si>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</si>
  <si>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</si>
  <si>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</si>
  <si>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</si>
  <si>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</si>
  <si>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</si>
  <si>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</si>
  <si>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</si>
  <si>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</si>
  <si>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</si>
  <si>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</si>
  <si>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</si>
  <si>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</si>
  <si>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</si>
  <si>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</si>
  <si>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</si>
  <si>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</si>
  <si>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</si>
  <si>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</si>
  <si>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</si>
  <si>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</si>
  <si>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</si>
  <si>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</si>
  <si>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</si>
  <si>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</si>
  <si>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</si>
  <si>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</si>
  <si>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</si>
  <si>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</si>
  <si>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</si>
  <si>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</si>
  <si>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</si>
  <si>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</si>
  <si>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</si>
  <si>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</si>
  <si>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</si>
  <si>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</si>
  <si>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</si>
  <si>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</si>
  <si>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</si>
  <si>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</si>
  <si>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</si>
  <si>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</si>
  <si>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</si>
  <si>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</si>
  <si>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</si>
  <si>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</si>
  <si>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</si>
  <si>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</si>
  <si>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</si>
  <si>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</si>
  <si>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</si>
  <si>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</si>
  <si>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</si>
  <si>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</si>
  <si>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</si>
  <si>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</si>
  <si>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</si>
  <si>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</si>
  <si>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</si>
  <si>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</si>
  <si>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</si>
  <si>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</si>
  <si>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</si>
  <si>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</si>
  <si>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</si>
  <si>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</si>
  <si>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</si>
  <si>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</si>
  <si>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</si>
  <si>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</si>
  <si>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</si>
  <si>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</si>
  <si>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</si>
  <si>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</si>
  <si>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</si>
  <si>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</si>
  <si>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</si>
  <si>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</si>
  <si>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</si>
  <si>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</si>
  <si>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</si>
  <si>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</si>
  <si>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</si>
  <si>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</si>
  <si>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</si>
  <si>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</si>
  <si>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</si>
  <si>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</si>
  <si>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</si>
  <si>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</si>
  <si>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</si>
  <si>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</si>
  <si>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</si>
  <si>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</si>
  <si>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</si>
  <si>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</si>
  <si>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</si>
  <si>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</si>
  <si>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</si>
  <si>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</si>
  <si>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</si>
  <si>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</si>
  <si>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</si>
  <si>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</si>
  <si>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</si>
  <si>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</si>
  <si>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</si>
  <si>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</si>
  <si>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</si>
  <si>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</si>
  <si>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</si>
  <si>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</si>
  <si>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</si>
  <si>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</si>
  <si>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</si>
  <si>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</si>
  <si>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</si>
  <si>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</si>
  <si>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</si>
  <si>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</si>
  <si>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</si>
  <si>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</si>
  <si>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</si>
  <si>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</si>
  <si>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</si>
  <si>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</si>
  <si>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</si>
  <si>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</si>
  <si>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</si>
  <si>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</si>
  <si>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</si>
  <si>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</si>
  <si>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</si>
  <si>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</si>
  <si>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</si>
  <si>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</si>
  <si>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</si>
  <si>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</si>
  <si>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</si>
  <si>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</si>
  <si>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</si>
  <si>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</si>
  <si>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</si>
  <si>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</si>
  <si>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</si>
  <si>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</si>
  <si>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</si>
  <si>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</si>
  <si>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</si>
  <si>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</si>
  <si>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</si>
  <si>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</si>
  <si>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</si>
  <si>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</si>
  <si>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</si>
  <si>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</si>
  <si>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</si>
  <si>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</si>
  <si>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</si>
  <si>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</si>
  <si>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</si>
  <si>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</si>
  <si>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</si>
  <si>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</si>
  <si>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</si>
  <si>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</si>
  <si>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</si>
  <si>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</si>
  <si>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</si>
  <si>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</si>
  <si>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</si>
  <si>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</si>
  <si>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</si>
  <si>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</si>
  <si>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</si>
  <si>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</si>
  <si>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</si>
  <si>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</si>
  <si>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</si>
  <si>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</si>
  <si>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</si>
  <si>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</si>
  <si>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</si>
  <si>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</si>
  <si>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</si>
  <si>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</si>
  <si>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</si>
  <si>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</si>
  <si>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</si>
  <si>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</si>
  <si>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</si>
  <si>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</si>
  <si>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</si>
  <si>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</si>
  <si>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</si>
  <si>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</si>
  <si>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</si>
  <si>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</si>
  <si>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</si>
  <si>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</si>
  <si>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</si>
  <si>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</si>
  <si>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</si>
  <si>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</si>
  <si>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</si>
  <si>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</si>
  <si>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</si>
  <si>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</si>
  <si>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</si>
  <si>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</si>
  <si>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</si>
  <si>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</si>
  <si>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</si>
  <si>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</si>
  <si>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</si>
  <si>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</si>
  <si>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</si>
  <si>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</si>
  <si>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</si>
  <si>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</si>
  <si>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</si>
  <si>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</si>
  <si>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</si>
  <si>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</si>
  <si>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</si>
  <si>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</si>
  <si>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</si>
  <si>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</si>
  <si>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</si>
  <si>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</si>
  <si>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</si>
  <si>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</si>
  <si>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</si>
  <si>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</si>
  <si>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</si>
  <si>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</si>
  <si>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</si>
  <si>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</si>
  <si>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</si>
  <si>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</si>
  <si>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</si>
  <si>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</si>
  <si>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</si>
  <si>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</si>
  <si>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</si>
  <si>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</si>
  <si>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</si>
  <si>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</si>
  <si>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</si>
  <si>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</si>
  <si>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</si>
  <si>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</si>
  <si>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</si>
  <si>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</si>
  <si>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</si>
  <si>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</si>
  <si>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</si>
  <si>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</si>
  <si>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</si>
  <si>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</si>
  <si>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</si>
  <si>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</si>
  <si>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</si>
  <si>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</si>
  <si>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</si>
  <si>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</si>
  <si>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</si>
  <si>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</si>
  <si>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</si>
  <si>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</si>
  <si>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</si>
  <si>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</si>
  <si>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</si>
  <si>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</si>
  <si>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</si>
  <si>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</si>
  <si>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</si>
  <si>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</si>
  <si>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</si>
  <si>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</si>
  <si>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</si>
  <si>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</si>
  <si>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</si>
  <si>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</si>
  <si>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</si>
  <si>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</si>
  <si>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</si>
  <si>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</si>
  <si>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</si>
  <si>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</si>
  <si>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</si>
  <si>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</si>
  <si>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</si>
  <si>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</si>
  <si>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</si>
  <si>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</si>
  <si>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</si>
  <si>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</si>
  <si>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</si>
  <si>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</si>
  <si>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</si>
  <si>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</si>
  <si>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</si>
  <si>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</si>
  <si>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</si>
  <si>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</si>
  <si>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</si>
  <si>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</si>
  <si>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</si>
  <si>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</si>
  <si>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</si>
  <si>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</si>
  <si>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</si>
  <si>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</si>
  <si>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</si>
  <si>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</si>
  <si>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</si>
  <si>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</si>
  <si>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</si>
  <si>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</si>
  <si>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</si>
  <si>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</si>
  <si>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</si>
  <si>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</si>
  <si>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</si>
  <si>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</si>
  <si>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</si>
  <si>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</si>
  <si>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</si>
  <si>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</si>
  <si>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</si>
  <si>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</si>
  <si>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</si>
  <si>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</si>
  <si>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</si>
  <si>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</si>
  <si>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</si>
  <si>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</si>
  <si>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</si>
  <si>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</si>
  <si>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</si>
  <si>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</si>
  <si>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</si>
  <si>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</si>
  <si>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</si>
  <si>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</si>
  <si>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</si>
  <si>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</si>
  <si>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</si>
  <si>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</si>
  <si>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</si>
  <si>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</si>
  <si>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</si>
  <si>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</si>
  <si>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</si>
  <si>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</si>
  <si>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</si>
  <si>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</si>
  <si>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</si>
  <si>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</si>
  <si>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</si>
  <si>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</si>
  <si>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</si>
  <si>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</si>
  <si>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</si>
  <si>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</si>
  <si>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</si>
  <si>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</si>
  <si>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</si>
  <si>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</si>
  <si>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</si>
  <si>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</si>
  <si>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</si>
  <si>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</si>
  <si>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</si>
  <si>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</si>
  <si>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</si>
  <si>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</si>
  <si>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</si>
  <si>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</si>
  <si>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</si>
  <si>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</si>
  <si>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</si>
  <si>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</si>
  <si>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</si>
  <si>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</si>
  <si>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</si>
  <si>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</si>
  <si>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</si>
  <si>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</si>
  <si>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</si>
  <si>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</si>
  <si>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</si>
  <si>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</si>
  <si>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</si>
  <si>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</si>
  <si>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</si>
  <si>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</si>
  <si>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</si>
  <si>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</si>
  <si>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</si>
  <si>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</si>
  <si>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</si>
  <si>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</si>
  <si>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</si>
  <si>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</si>
  <si>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</si>
  <si>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</si>
  <si>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</si>
  <si>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</si>
  <si>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</si>
  <si>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</si>
  <si>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</si>
  <si>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</si>
  <si>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</si>
  <si>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</si>
  <si>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</si>
  <si>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</si>
  <si>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</si>
  <si>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</si>
  <si>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</si>
  <si>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</si>
  <si>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</si>
  <si>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</si>
  <si>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</si>
  <si>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</si>
  <si>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</si>
  <si>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</si>
  <si>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</si>
  <si>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</si>
  <si>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</si>
  <si>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</si>
  <si>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</si>
  <si>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</si>
  <si>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</si>
  <si>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</si>
  <si>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</si>
  <si>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</si>
  <si>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</si>
  <si>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</si>
  <si>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</si>
  <si>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</si>
  <si>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</si>
  <si>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</si>
  <si>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</si>
  <si>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</si>
  <si>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</si>
  <si>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</si>
  <si>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</si>
  <si>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</si>
  <si>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</si>
  <si>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</si>
  <si>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</si>
  <si>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</si>
  <si>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</si>
  <si>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</si>
  <si>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</si>
  <si>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</si>
  <si>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</si>
  <si>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</si>
  <si>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</si>
  <si>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</si>
  <si>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</si>
  <si>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</si>
  <si>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</si>
  <si>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</si>
  <si>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</si>
  <si>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</si>
  <si>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</si>
  <si>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</si>
  <si>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</si>
  <si>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</si>
  <si>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</si>
  <si>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</si>
  <si>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</si>
  <si>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</si>
  <si>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</si>
  <si>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</si>
  <si>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</si>
  <si>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</si>
  <si>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</si>
  <si>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</si>
  <si>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</si>
  <si>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</si>
  <si>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</si>
  <si>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</si>
  <si>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</si>
  <si>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</si>
  <si>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</si>
  <si>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</si>
  <si>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</si>
  <si>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</si>
  <si>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</si>
  <si>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</si>
  <si>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</si>
  <si>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</si>
  <si>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</si>
  <si>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</si>
  <si>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</si>
  <si>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</si>
  <si>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</si>
  <si>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</si>
  <si>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</si>
  <si>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</si>
  <si>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</si>
  <si>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</si>
  <si>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</si>
  <si>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</si>
  <si>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</si>
  <si>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</si>
  <si>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</si>
  <si>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</si>
  <si>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</si>
  <si>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</si>
  <si>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</si>
  <si>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</si>
  <si>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</si>
  <si>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</si>
  <si>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</si>
  <si>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</si>
  <si>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</si>
  <si>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</si>
  <si>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</si>
  <si>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</si>
  <si>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</si>
  <si>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</si>
  <si>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</si>
  <si>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</si>
  <si>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</si>
  <si>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</si>
  <si>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</si>
  <si>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</si>
  <si>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</si>
  <si>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</si>
  <si>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</si>
  <si>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</si>
  <si>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</si>
  <si>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</si>
  <si>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</si>
  <si>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</si>
  <si>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</si>
  <si>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</si>
  <si>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</si>
  <si>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</si>
  <si>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</si>
  <si>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</si>
  <si>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</si>
  <si>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</si>
  <si>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</si>
  <si>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</si>
  <si>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</si>
  <si>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</si>
  <si>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</si>
  <si>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</si>
  <si>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</si>
  <si>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</si>
  <si>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</si>
  <si>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</si>
  <si>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</si>
  <si>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</si>
  <si>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</si>
  <si>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</si>
  <si>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</si>
  <si>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</si>
  <si>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</si>
  <si>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</si>
  <si>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</si>
  <si>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</si>
  <si>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</si>
  <si>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</si>
  <si>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</si>
  <si>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</si>
  <si>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</si>
  <si>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</si>
  <si>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</si>
  <si>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</si>
  <si>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</si>
  <si>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</si>
  <si>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</si>
  <si>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</si>
  <si>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</si>
  <si>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</si>
  <si>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</si>
  <si>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</si>
  <si>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</si>
  <si>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</si>
  <si>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</si>
  <si>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</si>
  <si>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</si>
  <si>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</si>
  <si>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</si>
  <si>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</si>
  <si>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</si>
  <si>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</si>
  <si>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</si>
  <si>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</si>
  <si>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</si>
  <si>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</si>
  <si>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</si>
  <si>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</si>
  <si>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</si>
  <si>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</si>
  <si>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</si>
  <si>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</si>
  <si>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</si>
  <si>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</si>
  <si>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</si>
  <si>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</si>
  <si>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</si>
  <si>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</si>
  <si>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</si>
  <si>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</si>
  <si>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</si>
  <si>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</si>
  <si>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</si>
  <si>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</si>
  <si>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</si>
  <si>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</si>
  <si>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</si>
  <si>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</si>
  <si>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</si>
  <si>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</si>
  <si>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</si>
  <si>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</si>
  <si>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</si>
  <si>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</si>
  <si>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</si>
  <si>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</si>
  <si>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</si>
  <si>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</si>
  <si>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</si>
  <si>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</si>
  <si>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</si>
  <si>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</si>
  <si>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</si>
  <si>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</si>
  <si>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</si>
  <si>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</si>
  <si>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</si>
  <si>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</si>
  <si>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</si>
  <si>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</si>
  <si>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</si>
  <si>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</si>
  <si>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</si>
  <si>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</si>
  <si>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</si>
  <si>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</si>
  <si>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</si>
  <si>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</si>
  <si>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</si>
  <si>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</si>
  <si>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</si>
  <si>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</si>
  <si>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</si>
  <si>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</si>
  <si>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</si>
  <si>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</si>
  <si>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</si>
  <si>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</si>
  <si>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</si>
  <si>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</si>
  <si>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</si>
  <si>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</si>
  <si>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</si>
  <si>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</si>
  <si>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</si>
  <si>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</si>
  <si>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</si>
  <si>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</si>
  <si>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</si>
  <si>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</si>
  <si>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</si>
  <si>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</si>
  <si>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</si>
  <si>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</si>
  <si>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</si>
  <si>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</si>
  <si>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</si>
  <si>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</si>
  <si>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</si>
  <si>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</si>
  <si>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</si>
  <si>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</si>
  <si>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</si>
  <si>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</si>
  <si>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</si>
  <si>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</si>
  <si>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</si>
  <si>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</si>
  <si>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</si>
  <si>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</si>
  <si>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</si>
  <si>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</si>
  <si>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</si>
  <si>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</si>
  <si>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</si>
  <si>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</si>
  <si>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</si>
  <si>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</si>
  <si>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</si>
  <si>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</si>
  <si>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</si>
  <si>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</si>
  <si>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</si>
  <si>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</si>
  <si>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</si>
  <si>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</si>
  <si>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</si>
  <si>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</si>
  <si>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</si>
  <si>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</si>
  <si>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</si>
  <si>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</si>
  <si>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</si>
  <si>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</si>
  <si>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</si>
  <si>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</si>
  <si>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</si>
  <si>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</si>
  <si>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</si>
  <si>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</si>
  <si>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</si>
  <si>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</si>
  <si>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</si>
  <si>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</si>
  <si>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</si>
  <si>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</si>
  <si>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</si>
  <si>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</si>
  <si>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</si>
  <si>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</si>
  <si>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</si>
  <si>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</si>
  <si>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</si>
  <si>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</si>
  <si>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</si>
  <si>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</si>
  <si>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</si>
  <si>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</si>
  <si>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</si>
  <si>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</si>
  <si>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</si>
  <si>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</si>
  <si>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</si>
  <si>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</si>
  <si>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</si>
  <si>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</si>
  <si>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</si>
  <si>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</si>
  <si>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</si>
  <si>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</si>
  <si>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</si>
  <si>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</si>
  <si>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</si>
  <si>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</si>
  <si>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</si>
  <si>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</si>
  <si>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</si>
  <si>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</si>
  <si>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</si>
  <si>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</si>
  <si>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</si>
  <si>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</si>
  <si>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</si>
  <si>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</si>
  <si>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</si>
  <si>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</si>
  <si>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</si>
  <si>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</si>
  <si>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</si>
  <si>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</si>
  <si>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</si>
  <si>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</si>
  <si>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</si>
  <si>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</si>
  <si>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</si>
  <si>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</si>
  <si>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</si>
  <si>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</si>
  <si>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</si>
  <si>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</si>
  <si>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</si>
  <si>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</si>
  <si>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</si>
  <si>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</si>
  <si>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</si>
  <si>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</si>
  <si>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</si>
  <si>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</si>
  <si>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</si>
  <si>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</si>
  <si>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</si>
  <si>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</si>
  <si>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</si>
  <si>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</si>
  <si>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</si>
  <si>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</si>
  <si>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</si>
  <si>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</si>
  <si>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</si>
  <si>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</si>
  <si>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</si>
  <si>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</si>
  <si>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</si>
  <si>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</si>
  <si>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</si>
  <si>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</si>
  <si>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</si>
  <si>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</si>
  <si>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</si>
  <si>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</si>
  <si>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</si>
  <si>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</si>
  <si>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</si>
  <si>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</si>
  <si>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</si>
  <si>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</si>
  <si>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</si>
  <si>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</si>
  <si>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</si>
  <si>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</si>
  <si>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</si>
  <si>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</si>
  <si>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</si>
  <si>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</si>
  <si>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</si>
  <si>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</si>
  <si>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</si>
  <si>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</si>
  <si>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</si>
  <si>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</si>
  <si>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</si>
  <si>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</si>
  <si>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</si>
  <si>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</si>
  <si>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</si>
  <si>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</si>
  <si>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</si>
  <si>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</si>
  <si>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</si>
  <si>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</si>
  <si>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</si>
  <si>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</si>
  <si>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</si>
  <si>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</si>
  <si>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</si>
  <si>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</si>
  <si>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</si>
  <si>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</si>
  <si>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</si>
  <si>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</si>
  <si>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</si>
  <si>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</si>
  <si>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</si>
  <si>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</si>
  <si>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</si>
  <si>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</si>
  <si>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</si>
  <si>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</si>
  <si>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</si>
  <si>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</si>
  <si>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</si>
  <si>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</si>
  <si>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</si>
  <si>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</si>
  <si>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</si>
  <si>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</si>
  <si>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</si>
  <si>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</si>
  <si>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</si>
  <si>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</si>
  <si>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</si>
  <si>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</si>
  <si>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</si>
  <si>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</si>
  <si>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</si>
  <si>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</si>
  <si>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</si>
  <si>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</si>
  <si>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</si>
  <si>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</si>
  <si>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</si>
  <si>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</si>
  <si>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</si>
  <si>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</si>
  <si>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</si>
  <si>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</si>
  <si>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</si>
  <si>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</si>
  <si>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</si>
  <si>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</si>
  <si>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</si>
  <si>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</si>
  <si>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</si>
  <si>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</si>
  <si>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</si>
  <si>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</si>
  <si>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</si>
  <si>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</si>
  <si>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</si>
  <si>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</si>
  <si>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</si>
  <si>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</si>
  <si>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</si>
  <si>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</si>
  <si>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</si>
  <si>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</si>
  <si>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</si>
  <si>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</si>
  <si>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</si>
  <si>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</si>
  <si>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</si>
  <si>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</si>
  <si>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</si>
  <si>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</si>
  <si>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</si>
  <si>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</si>
  <si>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</si>
  <si>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</si>
  <si>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</si>
  <si>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</si>
  <si>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</si>
  <si>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</si>
  <si>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</si>
  <si>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</si>
  <si>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</si>
  <si>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</si>
  <si>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</si>
  <si>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</si>
  <si>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</si>
  <si>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</si>
  <si>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</si>
  <si>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</si>
  <si>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</si>
  <si>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</si>
  <si>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</si>
  <si>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</si>
  <si>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</si>
  <si>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</si>
  <si>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</si>
  <si>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</si>
  <si>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</si>
  <si>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</si>
  <si>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</si>
  <si>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</si>
  <si>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</si>
  <si>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</si>
  <si>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</si>
  <si>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</si>
  <si>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</si>
  <si>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</si>
  <si>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</si>
  <si>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</si>
  <si>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</si>
  <si>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</si>
  <si>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</si>
  <si>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</si>
  <si>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</si>
  <si>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</si>
  <si>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</si>
  <si>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</si>
  <si>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</si>
  <si>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</si>
  <si>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</si>
  <si>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</si>
  <si>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</si>
  <si>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</si>
  <si>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</si>
  <si>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</si>
  <si>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</si>
  <si>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</si>
  <si>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</si>
  <si>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</si>
  <si>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</si>
  <si>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</si>
  <si>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</si>
  <si>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</si>
  <si>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</si>
  <si>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</si>
  <si>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</si>
  <si>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</si>
  <si>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</si>
  <si>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</si>
  <si>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</si>
  <si>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</si>
  <si>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</si>
  <si>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</si>
  <si>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</si>
  <si>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</si>
  <si>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</si>
  <si>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</si>
  <si>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</si>
  <si>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</si>
  <si>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</si>
  <si>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</si>
  <si>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</si>
  <si>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</si>
  <si>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</si>
  <si>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</si>
  <si>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</si>
  <si>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</si>
  <si>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</si>
  <si>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</si>
  <si>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</si>
  <si>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</si>
  <si>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</si>
  <si>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</si>
  <si>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</si>
  <si>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</si>
  <si>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</si>
  <si>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</si>
  <si>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</si>
  <si>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</si>
  <si>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</si>
  <si>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</si>
  <si>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</si>
  <si>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</si>
  <si>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</si>
  <si>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</si>
  <si>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</si>
  <si>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</si>
  <si>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</si>
  <si>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</si>
  <si>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</si>
  <si>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</si>
  <si>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</si>
  <si>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</si>
  <si>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</si>
  <si>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</si>
  <si>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</si>
  <si>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</si>
  <si>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</si>
  <si>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</si>
  <si>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</si>
  <si>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</si>
  <si>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</si>
  <si>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</si>
  <si>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</si>
  <si>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</si>
  <si>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</si>
  <si>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</si>
  <si>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</si>
  <si>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</si>
  <si>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</si>
  <si>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</si>
  <si>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</si>
  <si>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</si>
  <si>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</si>
  <si>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</si>
  <si>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</si>
  <si>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</si>
  <si>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</si>
  <si>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</si>
  <si>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</si>
  <si>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</si>
  <si>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</si>
  <si>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</si>
  <si>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</si>
  <si>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</si>
  <si>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</si>
  <si>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</si>
  <si>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</si>
  <si>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</si>
  <si>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</si>
  <si>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</si>
  <si>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</si>
  <si>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</si>
  <si>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</si>
  <si>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</si>
  <si>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</si>
  <si>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</si>
  <si>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</si>
  <si>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</si>
  <si>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</si>
  <si>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</si>
  <si>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</si>
  <si>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</si>
  <si>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</si>
  <si>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</si>
  <si>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</si>
  <si>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</si>
  <si>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</si>
  <si>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</si>
  <si>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</si>
  <si>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</si>
  <si>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</si>
  <si>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</si>
  <si>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</si>
  <si>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</si>
  <si>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</si>
  <si>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</si>
  <si>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</si>
  <si>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</si>
  <si>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</si>
  <si>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</si>
  <si>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</si>
  <si>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</si>
  <si>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</si>
  <si>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</si>
  <si>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</si>
  <si>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</si>
  <si>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</si>
  <si>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</si>
  <si>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</si>
  <si>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</si>
  <si>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</si>
  <si>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</si>
  <si>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</si>
  <si>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</si>
  <si>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</si>
  <si>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</si>
  <si>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</si>
  <si>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</si>
  <si>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</si>
  <si>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</si>
  <si>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</si>
  <si>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</si>
  <si>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</si>
  <si>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</si>
  <si>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</si>
  <si>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</si>
  <si>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</si>
  <si>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</si>
  <si>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</si>
  <si>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</si>
  <si>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</si>
  <si>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</si>
  <si>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</si>
  <si>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</si>
  <si>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</si>
  <si>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</si>
  <si>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</si>
  <si>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</si>
  <si>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</si>
  <si>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</si>
  <si>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</si>
  <si>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</si>
  <si>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</si>
  <si>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</si>
  <si>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</si>
  <si>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</si>
  <si>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</si>
  <si>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</si>
  <si>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</si>
  <si>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</si>
  <si>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</si>
  <si>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</si>
  <si>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</si>
  <si>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</si>
  <si>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</si>
  <si>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</si>
  <si>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</si>
  <si>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</si>
  <si>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</si>
  <si>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</si>
  <si>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</si>
  <si>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</si>
  <si>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</si>
  <si>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</si>
  <si>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</si>
  <si>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</si>
  <si>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</si>
  <si>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</si>
  <si>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</si>
  <si>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</si>
  <si>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</si>
  <si>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</si>
  <si>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</si>
  <si>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</si>
  <si>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</si>
  <si>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</si>
  <si>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</si>
  <si>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</si>
  <si>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</si>
  <si>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</si>
  <si>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</si>
  <si>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</si>
  <si>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</si>
  <si>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</si>
  <si>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</si>
  <si>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</si>
  <si>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</si>
  <si>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</si>
  <si>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</si>
  <si>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</si>
  <si>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</si>
  <si>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</si>
  <si>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</si>
  <si>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</si>
  <si>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</si>
  <si>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</si>
  <si>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</si>
  <si>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</si>
  <si>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</si>
  <si>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</si>
  <si>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</si>
  <si>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</si>
  <si>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</si>
  <si>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</si>
  <si>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</si>
  <si>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</si>
  <si>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</si>
  <si>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</si>
  <si>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</si>
  <si>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</si>
  <si>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</si>
  <si>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</si>
  <si>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</si>
  <si>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</si>
  <si>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</si>
  <si>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</si>
  <si>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</si>
  <si>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</si>
  <si>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</si>
  <si>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</si>
  <si>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</si>
  <si>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</si>
  <si>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</si>
  <si>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</si>
  <si>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</si>
  <si>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</si>
  <si>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</si>
  <si>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</si>
  <si>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</si>
  <si>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</si>
  <si>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</si>
  <si>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</si>
  <si>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</si>
  <si>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</si>
  <si>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</si>
  <si>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</si>
  <si>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</si>
  <si>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</si>
  <si>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</si>
  <si>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</si>
  <si>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</si>
  <si>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</si>
  <si>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</si>
  <si>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</si>
  <si>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</si>
  <si>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</si>
  <si>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</si>
  <si>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</si>
  <si>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</si>
  <si>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</si>
  <si>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</si>
  <si>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</si>
  <si>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</si>
  <si>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</si>
  <si>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</si>
  <si>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</si>
  <si>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</si>
  <si>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</si>
  <si>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</si>
  <si>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</si>
  <si>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</si>
  <si>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</si>
  <si>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</si>
  <si>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</si>
  <si>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</si>
  <si>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</si>
  <si>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</si>
  <si>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</si>
  <si>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</si>
  <si>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</si>
  <si>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</si>
  <si>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</si>
  <si>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</si>
  <si>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</si>
  <si>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</si>
  <si>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</si>
  <si>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</si>
  <si>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</si>
  <si>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</si>
  <si>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</si>
  <si>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</si>
  <si>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</si>
  <si>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</si>
  <si>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</si>
  <si>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</si>
  <si>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</si>
  <si>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</si>
  <si>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</si>
  <si>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</si>
  <si>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</si>
  <si>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</si>
  <si>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</si>
  <si>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</si>
  <si>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</si>
  <si>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</si>
  <si>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</si>
  <si>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</si>
  <si>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</si>
  <si>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</si>
  <si>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</si>
  <si>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</si>
  <si>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</si>
  <si>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</si>
  <si>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</si>
  <si>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</si>
  <si>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</si>
  <si>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</si>
  <si>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</si>
  <si>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</si>
  <si>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</si>
  <si>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</si>
  <si>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</si>
  <si>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</si>
  <si>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</si>
  <si>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</si>
  <si>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</si>
  <si>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</si>
  <si>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</si>
  <si>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</si>
  <si>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</si>
  <si>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</si>
  <si>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</si>
  <si>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</si>
  <si>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</si>
  <si>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</si>
  <si>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</si>
  <si>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</si>
  <si>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</si>
  <si>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</si>
  <si>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</si>
  <si>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</si>
  <si>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</si>
  <si>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</si>
  <si>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</si>
  <si>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</si>
  <si>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</si>
  <si>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</si>
  <si>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</si>
  <si>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</si>
  <si>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</si>
  <si>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</si>
  <si>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</si>
  <si>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</si>
  <si>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</si>
  <si>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</si>
  <si>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</si>
  <si>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</si>
  <si>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</si>
  <si>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</si>
  <si>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</si>
  <si>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</si>
  <si>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</si>
  <si>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</si>
  <si>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</si>
  <si>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</si>
  <si>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</si>
  <si>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</si>
  <si>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</si>
  <si>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</si>
  <si>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</si>
  <si>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</si>
  <si>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</si>
  <si>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</si>
  <si>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</si>
  <si>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</si>
  <si>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</si>
  <si>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</si>
  <si>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</si>
  <si>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</si>
  <si>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</si>
  <si>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</si>
  <si>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</si>
  <si>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</si>
  <si>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</si>
  <si>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</si>
  <si>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</si>
  <si>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</si>
  <si>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</si>
  <si>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</si>
  <si>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</si>
  <si>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</si>
  <si>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</si>
  <si>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</si>
  <si>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</si>
  <si>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</si>
  <si>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</si>
  <si>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</si>
  <si>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</si>
  <si>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</si>
  <si>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</si>
  <si>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</si>
  <si>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</si>
  <si>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</si>
  <si>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</si>
  <si>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</si>
  <si>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</si>
  <si>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</si>
  <si>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</si>
  <si>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</si>
  <si>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</si>
  <si>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</si>
  <si>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</si>
  <si>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</si>
  <si>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</si>
  <si>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</si>
  <si>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</si>
  <si>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</si>
  <si>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</si>
  <si>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</si>
  <si>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</si>
  <si>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</si>
  <si>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</si>
  <si>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</si>
  <si>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</si>
  <si>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</si>
  <si>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</si>
  <si>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</si>
  <si>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</si>
  <si>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</si>
  <si>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</si>
  <si>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</si>
  <si>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</si>
  <si>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</si>
  <si>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</si>
  <si>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</si>
  <si>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</si>
  <si>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</si>
  <si>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</si>
  <si>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</si>
  <si>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</si>
  <si>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</si>
  <si>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</si>
  <si>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</si>
  <si>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</si>
  <si>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</si>
  <si>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</si>
  <si>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</si>
  <si>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</si>
  <si>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</si>
  <si>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</si>
  <si>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</si>
  <si>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</si>
  <si>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</si>
  <si>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</si>
  <si>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</si>
  <si>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</si>
  <si>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</si>
  <si>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</si>
  <si>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</si>
  <si>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</si>
  <si>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</si>
  <si>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</si>
  <si>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</si>
  <si>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</si>
  <si>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</si>
  <si>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</si>
  <si>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</si>
  <si>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</si>
  <si>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</si>
  <si>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</si>
  <si>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</si>
  <si>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</si>
  <si>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</si>
  <si>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</si>
  <si>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</si>
  <si>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</si>
  <si>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</si>
  <si>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</si>
  <si>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</si>
  <si>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</si>
  <si>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</si>
  <si>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</si>
  <si>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</si>
  <si>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</si>
  <si>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</si>
  <si>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</si>
  <si>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</si>
  <si>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</si>
  <si>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</si>
  <si>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</si>
  <si>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</si>
  <si>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</si>
  <si>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</si>
  <si>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</si>
  <si>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</si>
  <si>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</si>
  <si>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</si>
  <si>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</si>
  <si>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</si>
  <si>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</si>
  <si>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</si>
  <si>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</si>
  <si>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</si>
  <si>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</si>
  <si>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</si>
  <si>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</si>
  <si>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</si>
  <si>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</si>
  <si>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</si>
  <si>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</si>
  <si>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</si>
  <si>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</si>
  <si>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</si>
  <si>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</si>
  <si>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</si>
  <si>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</si>
  <si>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</si>
  <si>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</si>
  <si>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</si>
  <si>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</si>
  <si>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</si>
  <si>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</si>
  <si>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</si>
  <si>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</si>
  <si>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</si>
  <si>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</si>
  <si>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</si>
  <si>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</si>
  <si>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</si>
  <si>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</si>
  <si>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</si>
  <si>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</si>
  <si>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</si>
  <si>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</si>
  <si>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</si>
  <si>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</si>
  <si>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</si>
  <si>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</si>
  <si>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</si>
  <si>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</si>
  <si>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</si>
  <si>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</si>
  <si>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</si>
  <si>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</si>
  <si>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</si>
  <si>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</si>
  <si>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</si>
  <si>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</si>
  <si>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</si>
  <si>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</si>
  <si>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</si>
  <si>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</si>
  <si>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</si>
  <si>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</si>
  <si>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</si>
  <si>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</si>
  <si>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</si>
  <si>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</si>
  <si>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</si>
  <si>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</si>
  <si>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</si>
  <si>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</si>
  <si>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</si>
  <si>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</si>
  <si>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</si>
  <si>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</si>
  <si>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</si>
  <si>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</si>
  <si>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</si>
  <si>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</si>
  <si>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</si>
  <si>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</si>
  <si>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</si>
  <si>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</si>
  <si>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</si>
  <si>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</si>
  <si>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</si>
  <si>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</si>
  <si>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</si>
  <si>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</si>
  <si>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</si>
  <si>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</si>
  <si>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</si>
  <si>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</si>
  <si>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</si>
  <si>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</si>
  <si>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</si>
  <si>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</si>
  <si>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</si>
  <si>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</si>
  <si>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</si>
  <si>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</si>
  <si>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</si>
  <si>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</si>
  <si>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</si>
  <si>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</si>
  <si>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</si>
  <si>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</si>
  <si>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</si>
  <si>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</si>
  <si>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</si>
  <si>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</si>
  <si>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</si>
  <si>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</si>
  <si>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</si>
  <si>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</si>
  <si>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</si>
  <si>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</si>
  <si>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</si>
  <si>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</si>
  <si>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</si>
  <si>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</si>
  <si>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</si>
  <si>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</si>
  <si>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</si>
  <si>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</si>
  <si>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</si>
  <si>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</si>
  <si>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</si>
  <si>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</si>
  <si>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</si>
  <si>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</si>
  <si>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</si>
  <si>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</si>
  <si>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</si>
  <si>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</si>
  <si>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</si>
  <si>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</si>
  <si>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</si>
  <si>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</si>
  <si>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</si>
  <si>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</si>
  <si>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</si>
  <si>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</si>
  <si>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</si>
  <si>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</si>
  <si>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</si>
  <si>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</si>
  <si>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</si>
  <si>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</si>
  <si>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</si>
  <si>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</si>
  <si>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</si>
  <si>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</si>
  <si>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</si>
  <si>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</si>
  <si>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</si>
  <si>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</si>
  <si>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</si>
  <si>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</si>
  <si>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</si>
  <si>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</si>
  <si>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</si>
  <si>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</si>
  <si>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</si>
  <si>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</si>
  <si>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</si>
  <si>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</si>
  <si>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</si>
  <si>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</si>
  <si>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</si>
  <si>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</si>
  <si>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</si>
  <si>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</si>
  <si>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</si>
  <si>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</si>
  <si>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</si>
  <si>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</si>
  <si>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</si>
  <si>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</si>
  <si>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</si>
  <si>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</si>
  <si>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</si>
  <si>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</si>
  <si>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</si>
  <si>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</si>
  <si>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</si>
  <si>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</si>
  <si>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</si>
  <si>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</si>
  <si>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</si>
  <si>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</si>
  <si>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</si>
  <si>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</si>
  <si>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</si>
  <si>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</si>
  <si>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</si>
  <si>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</si>
  <si>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</si>
  <si>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</si>
  <si>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</si>
  <si>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</si>
  <si>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</si>
  <si>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</si>
  <si>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</si>
  <si>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</si>
  <si>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</si>
  <si>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</si>
  <si>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</si>
  <si>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</si>
  <si>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</si>
  <si>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</si>
  <si>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</si>
  <si>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</si>
  <si>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</si>
  <si>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</si>
  <si>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</si>
  <si>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</si>
  <si>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</si>
  <si>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</si>
  <si>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</si>
  <si>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</si>
  <si>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</si>
  <si>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</si>
  <si>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</si>
  <si>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</si>
  <si>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</si>
  <si>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</si>
  <si>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</si>
  <si>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</si>
  <si>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</si>
  <si>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</si>
  <si>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</si>
  <si>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</si>
  <si>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</si>
  <si>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</si>
  <si>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</si>
  <si>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</si>
  <si>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</si>
  <si>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</si>
  <si>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</si>
  <si>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</si>
  <si>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</si>
  <si>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</si>
  <si>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</si>
  <si>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</si>
  <si>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</si>
  <si>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</si>
  <si>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</si>
  <si>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</si>
  <si>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</si>
  <si>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</si>
  <si>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</si>
  <si>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</si>
  <si>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</si>
  <si>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</si>
  <si>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</si>
  <si>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</si>
  <si>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</si>
  <si>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</si>
  <si>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</si>
  <si>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</si>
  <si>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</si>
  <si>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</si>
  <si>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</si>
  <si>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</si>
  <si>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</si>
  <si>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</si>
  <si>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</si>
  <si>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</si>
  <si>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</si>
  <si>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</si>
  <si>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</si>
  <si>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</si>
  <si>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</si>
  <si>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</si>
  <si>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</si>
  <si>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</si>
  <si>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</si>
  <si>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</si>
  <si>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</si>
  <si>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</si>
  <si>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</si>
  <si>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</si>
  <si>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</si>
  <si>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</si>
  <si>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</si>
  <si>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</si>
  <si>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</si>
  <si>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</si>
  <si>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</si>
  <si>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</si>
  <si>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</si>
  <si>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</si>
  <si>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</si>
  <si>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</si>
  <si>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</si>
  <si>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</si>
  <si>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</si>
  <si>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</si>
  <si>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</si>
  <si>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</si>
  <si>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</si>
  <si>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</si>
  <si>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</si>
  <si>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</si>
  <si>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</si>
  <si>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</si>
  <si>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</si>
  <si>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</si>
  <si>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</si>
  <si>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</si>
  <si>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</si>
  <si>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</si>
  <si>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</si>
  <si>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</si>
  <si>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</si>
  <si>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</si>
  <si>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</si>
  <si>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</si>
  <si>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</si>
  <si>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</si>
  <si>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</si>
  <si>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</si>
  <si>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</si>
  <si>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</si>
  <si>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</si>
  <si>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</si>
  <si>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</si>
  <si>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</si>
  <si>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</si>
  <si>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</si>
  <si>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</si>
  <si>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</si>
  <si>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</si>
  <si>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</si>
  <si>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</si>
  <si>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</si>
  <si>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</si>
  <si>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</si>
  <si>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</si>
  <si>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</si>
  <si>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</si>
  <si>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</si>
  <si>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</si>
  <si>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</si>
  <si>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</si>
  <si>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</si>
  <si>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</si>
  <si>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</si>
  <si>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</si>
  <si>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</si>
  <si>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</si>
  <si>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</si>
  <si>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</si>
  <si>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</si>
  <si>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</si>
  <si>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</si>
  <si>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</si>
  <si>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</si>
  <si>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</si>
  <si>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</si>
  <si>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</si>
  <si>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</si>
  <si>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</si>
  <si>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</si>
  <si>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</si>
  <si>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</si>
  <si>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</si>
  <si>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</si>
  <si>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</si>
  <si>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</si>
  <si>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</si>
  <si>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</si>
  <si>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</si>
  <si>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</si>
  <si>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</si>
  <si>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</si>
  <si>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</si>
  <si>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</si>
  <si>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</si>
  <si>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</si>
  <si>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</si>
  <si>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</si>
  <si>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</si>
  <si>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</si>
  <si>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</si>
  <si>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</si>
  <si>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</si>
  <si>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</si>
  <si>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</si>
  <si>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</si>
  <si>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</si>
  <si>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</si>
  <si>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</si>
  <si>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</si>
  <si>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</si>
  <si>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</si>
  <si>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</si>
  <si>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</si>
  <si>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</si>
  <si>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</si>
  <si>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</si>
  <si>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</si>
  <si>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</si>
  <si>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</si>
  <si>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</si>
  <si>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</si>
  <si>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</si>
  <si>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</si>
  <si>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</si>
  <si>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</si>
  <si>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</si>
  <si>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</si>
  <si>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</si>
  <si>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</si>
  <si>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</si>
  <si>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</si>
  <si>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</si>
  <si>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</si>
  <si>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</si>
  <si>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</si>
  <si>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</si>
  <si>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</si>
  <si>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</si>
  <si>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</si>
  <si>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</si>
  <si>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</si>
  <si>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</si>
  <si>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</si>
  <si>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</si>
  <si>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</si>
  <si>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</si>
  <si>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</si>
  <si>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</si>
  <si>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</si>
  <si>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</si>
  <si>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</si>
  <si>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</si>
  <si>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</si>
  <si>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</si>
  <si>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</si>
  <si>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</si>
  <si>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</si>
  <si>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</si>
  <si>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</si>
  <si>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</si>
  <si>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</si>
  <si>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</si>
  <si>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</si>
  <si>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</si>
  <si>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</si>
  <si>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</si>
  <si>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</si>
  <si>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</si>
  <si>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</si>
  <si>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</si>
  <si>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</si>
  <si>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</si>
  <si>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</si>
  <si>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</si>
  <si>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</si>
  <si>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</si>
  <si>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</si>
  <si>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</si>
  <si>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</si>
  <si>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</si>
  <si>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</si>
  <si>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</si>
  <si>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</si>
  <si>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</si>
  <si>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</si>
  <si>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</si>
  <si>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</si>
  <si>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</si>
  <si>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</si>
  <si>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</si>
  <si>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</si>
  <si>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</si>
  <si>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</si>
  <si>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</si>
  <si>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</si>
  <si>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</si>
  <si>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</si>
  <si>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</si>
  <si>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</si>
  <si>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</si>
  <si>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</si>
  <si>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</si>
  <si>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</si>
  <si>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</si>
  <si>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</si>
  <si>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</si>
  <si>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</si>
  <si>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</si>
  <si>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</si>
  <si>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</si>
  <si>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</si>
  <si>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</si>
  <si>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</si>
  <si>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</si>
  <si>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</si>
  <si>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</si>
  <si>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</si>
  <si>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</si>
  <si>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</si>
  <si>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</si>
  <si>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</si>
  <si>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</si>
  <si>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</si>
  <si>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</si>
  <si>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</si>
  <si>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</si>
  <si>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</si>
  <si>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</si>
  <si>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</si>
  <si>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</si>
  <si>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</si>
  <si>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</si>
  <si>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</si>
  <si>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</si>
  <si>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</si>
  <si>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</si>
  <si>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</si>
  <si>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</si>
  <si>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</si>
  <si>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</si>
  <si>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</si>
  <si>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</si>
  <si>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</si>
  <si>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</si>
  <si>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</si>
  <si>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</si>
  <si>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</si>
  <si>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</si>
  <si>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</si>
  <si>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</si>
  <si>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</si>
  <si>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</si>
  <si>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</si>
  <si>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</si>
  <si>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</si>
  <si>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</si>
  <si>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</si>
  <si>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</si>
  <si>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</si>
  <si>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</si>
  <si>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</si>
  <si>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</si>
  <si>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</si>
  <si>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</si>
  <si>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</si>
  <si>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</si>
  <si>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</si>
  <si>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</si>
  <si>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</si>
  <si>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</si>
  <si>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</si>
  <si>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</si>
  <si>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</si>
  <si>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</si>
  <si>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</si>
  <si>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</si>
  <si>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</si>
  <si>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</si>
  <si>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</si>
  <si>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</si>
  <si>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</si>
  <si>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</si>
  <si>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</si>
  <si>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</si>
  <si>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</si>
  <si>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</si>
  <si>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</si>
  <si>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</si>
  <si>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</si>
  <si>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</si>
  <si>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</si>
  <si>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</si>
  <si>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</si>
  <si>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</si>
  <si>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</si>
  <si>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</si>
  <si>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</si>
  <si>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</si>
  <si>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</si>
  <si>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</si>
  <si>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</si>
  <si>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</si>
  <si>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</si>
  <si>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</si>
  <si>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</si>
  <si>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</si>
  <si>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</si>
  <si>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</si>
  <si>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</si>
  <si>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</si>
  <si>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</si>
  <si>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</si>
  <si>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</si>
  <si>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</si>
  <si>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</si>
  <si>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</si>
  <si>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</si>
  <si>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</si>
  <si>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</si>
  <si>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</si>
  <si>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</si>
  <si>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</si>
  <si>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</si>
  <si>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</si>
  <si>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</si>
  <si>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</si>
  <si>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</si>
  <si>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</si>
  <si>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</si>
  <si>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</si>
  <si>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</si>
  <si>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</si>
  <si>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</si>
  <si>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</si>
  <si>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</si>
  <si>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</si>
  <si>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</si>
  <si>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</si>
  <si>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</si>
  <si>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</si>
  <si>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</si>
  <si>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</si>
  <si>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</si>
  <si>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</si>
  <si>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</si>
  <si>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</si>
  <si>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</si>
  <si>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</si>
  <si>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</si>
  <si>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</si>
  <si>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</si>
  <si>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</si>
  <si>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</si>
  <si>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</si>
  <si>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</si>
  <si>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</si>
  <si>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</si>
  <si>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</si>
  <si>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</si>
  <si>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</si>
  <si>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</si>
  <si>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</si>
  <si>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</si>
  <si>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</si>
  <si>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</si>
  <si>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</si>
  <si>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</si>
  <si>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</si>
  <si>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</si>
  <si>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</si>
  <si>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</si>
  <si>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</si>
  <si>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</si>
  <si>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</si>
  <si>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</si>
  <si>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</si>
  <si>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</si>
  <si>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</si>
  <si>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</si>
  <si>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</si>
  <si>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</si>
  <si>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</si>
  <si>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</si>
  <si>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</si>
  <si>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</si>
  <si>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</si>
  <si>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</si>
  <si>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</si>
  <si>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</si>
  <si>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</si>
  <si>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</si>
  <si>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</si>
  <si>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</si>
  <si>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</si>
  <si>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</si>
  <si>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</si>
  <si>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</si>
  <si>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</si>
  <si>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</si>
  <si>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</si>
  <si>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</si>
  <si>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</si>
  <si>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</si>
  <si>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</si>
  <si>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</si>
  <si>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</si>
  <si>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</si>
  <si>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</si>
  <si>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</si>
  <si>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</si>
  <si>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</si>
  <si>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</si>
  <si>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</si>
  <si>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</si>
  <si>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</si>
  <si>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</si>
  <si>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</si>
  <si>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</si>
  <si>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</si>
  <si>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</si>
  <si>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</si>
  <si>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</si>
  <si>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</si>
  <si>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</si>
  <si>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</si>
  <si>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</si>
  <si>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</si>
  <si>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</si>
  <si>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</si>
  <si>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</si>
  <si>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</si>
  <si>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</si>
  <si>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</si>
  <si>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</si>
  <si>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</si>
  <si>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</si>
  <si>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</si>
  <si>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</si>
  <si>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</si>
  <si>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</si>
  <si>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</si>
  <si>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</si>
  <si>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</si>
  <si>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</si>
  <si>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</si>
  <si>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</si>
  <si>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</si>
  <si>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</si>
  <si>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</si>
  <si>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</si>
  <si>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</si>
  <si>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</si>
  <si>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</si>
  <si>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</si>
  <si>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</si>
  <si>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</si>
  <si>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</si>
  <si>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</si>
  <si>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</si>
  <si>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</si>
  <si>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</si>
  <si>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</si>
  <si>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</si>
  <si>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</si>
  <si>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</si>
  <si>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</si>
  <si>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</si>
  <si>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</si>
  <si>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</si>
  <si>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</si>
  <si>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</si>
  <si>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</si>
  <si>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</si>
  <si>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</si>
  <si>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</si>
  <si>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</si>
  <si>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</si>
  <si>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</si>
  <si>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</si>
  <si>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</si>
  <si>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</si>
  <si>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</si>
  <si>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</si>
  <si>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</si>
  <si>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</si>
  <si>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</si>
  <si>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</si>
  <si>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</si>
  <si>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</si>
  <si>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</si>
  <si>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</si>
  <si>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</si>
  <si>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</si>
  <si>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</si>
  <si>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</si>
  <si>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</si>
  <si>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</si>
  <si>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</si>
  <si>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</si>
  <si>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</si>
  <si>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</si>
  <si>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</si>
  <si>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</si>
  <si>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</si>
  <si>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</si>
  <si>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</si>
  <si>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</si>
  <si>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</si>
  <si>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</si>
  <si>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</si>
  <si>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</si>
  <si>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</si>
  <si>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</si>
  <si>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</si>
  <si>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</si>
  <si>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</si>
  <si>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</si>
  <si>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</si>
  <si>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</si>
  <si>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</si>
  <si>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</si>
  <si>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</si>
  <si>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</si>
  <si>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</si>
  <si>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</si>
  <si>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</si>
  <si>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</si>
  <si>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</si>
  <si>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</si>
  <si>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</si>
  <si>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</si>
  <si>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</si>
  <si>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</si>
  <si>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</si>
  <si>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</si>
  <si>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</si>
  <si>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</si>
  <si>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</si>
  <si>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</si>
  <si>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</si>
  <si>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</si>
  <si>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</si>
  <si>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</si>
  <si>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</si>
  <si>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</si>
  <si>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</si>
  <si>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</si>
  <si>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</si>
  <si>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</si>
  <si>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</si>
  <si>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</si>
  <si>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</si>
  <si>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</si>
  <si>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</si>
  <si>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</si>
  <si>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</si>
  <si>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</si>
  <si>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</si>
  <si>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</si>
  <si>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</si>
  <si>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</si>
  <si>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</si>
  <si>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</si>
  <si>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</si>
  <si>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</si>
  <si>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</si>
  <si>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</si>
  <si>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</si>
  <si>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</si>
  <si>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</si>
  <si>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</si>
  <si>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</si>
  <si>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</si>
  <si>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</si>
  <si>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</si>
  <si>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</si>
  <si>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</si>
  <si>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</si>
  <si>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</si>
  <si>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</si>
  <si>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</si>
  <si>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</si>
  <si>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</si>
  <si>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</si>
  <si>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</si>
  <si>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</si>
  <si>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</si>
  <si>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</si>
  <si>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</si>
  <si>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</si>
  <si>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</si>
  <si>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</si>
  <si>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</si>
  <si>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</si>
  <si>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</si>
  <si>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</si>
  <si>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</si>
  <si>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</si>
  <si>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</si>
  <si>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</si>
  <si>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</si>
  <si>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</si>
  <si>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</si>
  <si>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</si>
  <si>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</si>
  <si>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</si>
  <si>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</si>
  <si>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</si>
  <si>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</si>
  <si>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</si>
  <si>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</si>
  <si>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</si>
  <si>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</si>
  <si>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</si>
  <si>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</si>
  <si>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</si>
  <si>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</si>
  <si>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</si>
  <si>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</si>
  <si>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</si>
  <si>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</si>
  <si>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</si>
  <si>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</si>
  <si>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</si>
  <si>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</si>
  <si>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</si>
  <si>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</si>
  <si>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</si>
  <si>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</si>
  <si>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</si>
  <si>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</si>
  <si>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</si>
  <si>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</si>
  <si>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</si>
  <si>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</si>
  <si>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</si>
  <si>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</si>
  <si>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</si>
  <si>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</si>
  <si>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</si>
  <si>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</si>
  <si>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</si>
  <si>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</si>
  <si>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</si>
  <si>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</si>
  <si>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</si>
  <si>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</si>
  <si>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</si>
  <si>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</si>
  <si>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</si>
  <si>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</si>
  <si>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</si>
  <si>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</si>
  <si>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</si>
  <si>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</si>
  <si>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</si>
  <si>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</si>
  <si>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</si>
  <si>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</si>
  <si>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</si>
  <si>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</si>
  <si>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</si>
  <si>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</si>
  <si>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</si>
  <si>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</si>
  <si>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</si>
  <si>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</si>
  <si>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</si>
  <si>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</si>
  <si>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</si>
  <si>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</si>
  <si>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</si>
  <si>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</si>
  <si>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</si>
  <si>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</si>
  <si>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</si>
  <si>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</si>
  <si>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</si>
  <si>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</si>
  <si>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</si>
  <si>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</si>
  <si>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</si>
  <si>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</si>
  <si>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</si>
  <si>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</si>
  <si>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</si>
  <si>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</si>
  <si>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</si>
  <si>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</si>
  <si>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</si>
  <si>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</si>
  <si>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</si>
  <si>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</si>
  <si>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</si>
  <si>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</si>
  <si>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</si>
  <si>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</si>
  <si>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</si>
  <si>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</si>
  <si>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</si>
  <si>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</si>
  <si>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</si>
  <si>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</si>
  <si>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</si>
  <si>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</si>
  <si>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</si>
  <si>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</si>
  <si>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</si>
  <si>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</si>
  <si>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</si>
  <si>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</si>
  <si>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</si>
  <si>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</si>
  <si>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</si>
  <si>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</si>
  <si>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</si>
  <si>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</si>
  <si>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</si>
  <si>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</si>
  <si>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</si>
  <si>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</si>
  <si>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</si>
  <si>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</si>
  <si>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</si>
  <si>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</si>
  <si>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</si>
  <si>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</si>
  <si>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</si>
  <si>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</si>
  <si>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</si>
  <si>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</si>
  <si>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</si>
  <si>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</si>
  <si>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</si>
  <si>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</si>
  <si>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</si>
  <si>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</si>
  <si>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</si>
  <si>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</si>
  <si>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</si>
  <si>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</si>
  <si>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</si>
  <si>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</si>
  <si>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</si>
  <si>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</si>
  <si>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</si>
  <si>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</si>
  <si>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</si>
  <si>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</si>
  <si>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</si>
  <si>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</si>
  <si>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</si>
  <si>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</si>
  <si>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</si>
  <si>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</si>
  <si>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</si>
  <si>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</si>
  <si>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</si>
  <si>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</si>
  <si>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</si>
  <si>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</si>
  <si>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</si>
  <si>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</si>
  <si>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</si>
  <si>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</si>
  <si>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</si>
  <si>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</si>
  <si>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</si>
  <si>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</si>
  <si>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</si>
  <si>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</si>
  <si>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</si>
  <si>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</si>
  <si>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</si>
  <si>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</si>
  <si>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</si>
  <si>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</si>
  <si>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</si>
  <si>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</si>
  <si>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</si>
  <si>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</si>
  <si>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</si>
  <si>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</si>
  <si>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</si>
  <si>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</si>
  <si>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</si>
  <si>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</si>
  <si>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</si>
  <si>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</si>
  <si>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</si>
  <si>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</si>
  <si>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</si>
  <si>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</si>
  <si>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</si>
  <si>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</si>
  <si>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</si>
  <si>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</si>
  <si>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</si>
  <si>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</si>
  <si>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</si>
  <si>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</si>
  <si>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</si>
  <si>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</si>
  <si>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</si>
  <si>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</si>
  <si>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</si>
  <si>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</si>
  <si>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</si>
  <si>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</si>
  <si>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</si>
  <si>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</si>
  <si>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</si>
  <si>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</si>
  <si>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</si>
  <si>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</si>
  <si>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</si>
  <si>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</si>
  <si>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</si>
  <si>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</si>
  <si>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</si>
  <si>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</si>
  <si>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</si>
  <si>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</si>
  <si>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</si>
  <si>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</si>
  <si>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</si>
  <si>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</si>
  <si>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</si>
  <si>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</si>
  <si>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</si>
  <si>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</si>
  <si>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</si>
  <si>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</si>
  <si>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</si>
  <si>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</si>
  <si>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</si>
  <si>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</si>
  <si>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</si>
  <si>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</si>
  <si>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</si>
  <si>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</si>
  <si>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</si>
  <si>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</si>
  <si>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</si>
  <si>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</si>
  <si>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</si>
  <si>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</si>
  <si>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</si>
  <si>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</si>
  <si>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</si>
  <si>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</si>
  <si>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</si>
  <si>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</si>
  <si>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</si>
  <si>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</si>
  <si>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</si>
  <si>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</si>
  <si>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</si>
  <si>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</si>
  <si>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</si>
  <si>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</si>
  <si>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</si>
  <si>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</si>
  <si>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</si>
  <si>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</si>
  <si>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</si>
  <si>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</si>
  <si>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</si>
  <si>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</si>
  <si>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</si>
  <si>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</si>
  <si>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</si>
  <si>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</si>
  <si>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</si>
  <si>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</si>
  <si>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</si>
  <si>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</si>
  <si>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</si>
  <si>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</si>
  <si>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</si>
  <si>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</si>
  <si>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</si>
  <si>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</si>
  <si>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</si>
  <si>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</si>
  <si>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</si>
  <si>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</si>
  <si>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</si>
  <si>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</si>
  <si>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</si>
  <si>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</si>
  <si>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</si>
  <si>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</si>
  <si>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</si>
  <si>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</si>
  <si>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</si>
  <si>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</si>
  <si>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</si>
  <si>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</si>
  <si>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</si>
  <si>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</si>
  <si>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</si>
  <si>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</si>
  <si>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</si>
  <si>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</si>
  <si>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</si>
  <si>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</si>
  <si>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</si>
  <si>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</si>
  <si>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</si>
  <si>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</si>
  <si>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</si>
  <si>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</si>
  <si>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</si>
  <si>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</si>
  <si>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</si>
  <si>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</si>
  <si>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</si>
  <si>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</si>
  <si>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</si>
  <si>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</si>
  <si>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</si>
  <si>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</si>
  <si>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</si>
  <si>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</si>
  <si>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</si>
  <si>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</si>
  <si>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</si>
  <si>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</si>
  <si>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</si>
  <si>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</si>
  <si>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</si>
  <si>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</si>
  <si>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</si>
  <si>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</si>
  <si>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</si>
  <si>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</si>
  <si>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</si>
  <si>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</si>
  <si>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</si>
  <si>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</si>
  <si>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</si>
  <si>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</si>
  <si>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</si>
  <si>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</si>
  <si>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</si>
  <si>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</si>
  <si>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</si>
  <si>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</si>
  <si>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</si>
  <si>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</si>
  <si>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</si>
  <si>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</si>
  <si>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</si>
  <si>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</si>
  <si>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</si>
  <si>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</si>
  <si>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</si>
  <si>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</si>
  <si>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</si>
  <si>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</si>
  <si>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</si>
  <si>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</si>
  <si>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</si>
  <si>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</si>
  <si>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</si>
  <si>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</si>
  <si>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</si>
  <si>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</si>
  <si>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</si>
  <si>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</si>
  <si>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</si>
  <si>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</si>
  <si>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</si>
  <si>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</si>
  <si>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</si>
  <si>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</si>
  <si>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</si>
  <si>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</si>
  <si>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</si>
  <si>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</si>
  <si>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</si>
  <si>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</si>
  <si>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</si>
  <si>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</si>
  <si>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</si>
  <si>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</si>
  <si>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</si>
  <si>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</si>
  <si>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</si>
  <si>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</si>
  <si>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</si>
  <si>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</si>
  <si>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</si>
  <si>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</si>
  <si>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</si>
  <si>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</si>
  <si>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</si>
  <si>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</si>
  <si>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</si>
  <si>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</si>
  <si>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</si>
  <si>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</si>
  <si>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</si>
  <si>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</si>
  <si>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</si>
  <si>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</si>
  <si>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</si>
  <si>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</si>
  <si>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</si>
  <si>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</si>
  <si>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</si>
  <si>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</si>
  <si>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</si>
  <si>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</si>
  <si>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</si>
  <si>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</si>
  <si>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</si>
  <si>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</si>
  <si>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</si>
  <si>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</si>
  <si>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</si>
  <si>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</si>
  <si>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</si>
  <si>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</si>
  <si>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</si>
  <si>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</si>
  <si>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</si>
  <si>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</si>
  <si>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</si>
  <si>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</si>
  <si>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</si>
  <si>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</si>
  <si>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</si>
  <si>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</si>
  <si>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</si>
  <si>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</si>
  <si>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</si>
  <si>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</si>
  <si>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</si>
  <si>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</si>
  <si>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</si>
  <si>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</si>
  <si>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</si>
  <si>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</si>
  <si>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</si>
  <si>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</si>
  <si>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</si>
  <si>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</si>
  <si>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</si>
  <si>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</si>
  <si>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</si>
  <si>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</si>
  <si>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</si>
  <si>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</si>
  <si>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</si>
  <si>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</si>
  <si>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</si>
  <si>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</si>
  <si>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</si>
  <si>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</si>
  <si>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</si>
  <si>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</si>
  <si>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</si>
  <si>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</si>
  <si>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</si>
  <si>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</si>
  <si>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</si>
  <si>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</si>
  <si>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</si>
  <si>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</si>
  <si>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</si>
  <si>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</si>
  <si>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</si>
  <si>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</si>
  <si>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</si>
  <si>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</si>
  <si>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</si>
  <si>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</si>
  <si>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</si>
  <si>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</si>
  <si>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</si>
  <si>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</si>
  <si>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</si>
  <si>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</si>
  <si>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</si>
  <si>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</si>
  <si>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</si>
  <si>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</si>
  <si>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</si>
  <si>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</si>
  <si>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</si>
  <si>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</si>
  <si>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</si>
  <si>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</si>
  <si>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</si>
  <si>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</si>
  <si>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</si>
  <si>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</si>
  <si>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</si>
  <si>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</si>
  <si>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</si>
  <si>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</si>
  <si>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</si>
  <si>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</si>
  <si>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</si>
  <si>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</si>
  <si>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</si>
  <si>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</si>
  <si>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</si>
  <si>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</si>
  <si>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</si>
  <si>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</si>
  <si>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</si>
  <si>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</si>
  <si>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</si>
  <si>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</si>
  <si>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</si>
  <si>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</si>
  <si>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</si>
  <si>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</si>
  <si>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</si>
  <si>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</si>
  <si>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</si>
  <si>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</si>
  <si>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</si>
  <si>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</si>
  <si>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</si>
  <si>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</si>
  <si>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</si>
  <si>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</si>
  <si>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</si>
  <si>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</si>
  <si>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</si>
  <si>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</si>
  <si>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</si>
  <si>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</si>
  <si>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</si>
  <si>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</si>
  <si>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</si>
  <si>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</si>
  <si>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</si>
  <si>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</si>
  <si>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</si>
  <si>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</si>
  <si>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</si>
  <si>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</si>
  <si>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</si>
  <si>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</si>
  <si>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</si>
  <si>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</si>
  <si>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</si>
  <si>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</si>
  <si>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</si>
  <si>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</si>
  <si>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</si>
  <si>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</si>
  <si>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</si>
  <si>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</si>
  <si>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</si>
  <si>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</si>
  <si>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</si>
  <si>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</si>
  <si>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</si>
  <si>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</si>
  <si>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</si>
  <si>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</si>
  <si>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</si>
  <si>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</si>
  <si>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</si>
  <si>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</si>
  <si>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</si>
  <si>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</si>
  <si>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</si>
  <si>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</si>
  <si>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</si>
  <si>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</si>
  <si>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</si>
  <si>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</si>
  <si>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</si>
  <si>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</si>
  <si>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</si>
  <si>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</si>
  <si>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</si>
  <si>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</si>
  <si>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</si>
  <si>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</si>
  <si>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</si>
  <si>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</si>
  <si>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</si>
  <si>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</si>
  <si>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</si>
  <si>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</si>
  <si>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</si>
  <si>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</si>
  <si>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</si>
  <si>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</si>
  <si>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</si>
  <si>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</si>
  <si>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</si>
  <si>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</si>
  <si>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</si>
  <si>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</si>
  <si>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</si>
  <si>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</si>
  <si>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</si>
  <si>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</si>
  <si>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</si>
  <si>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</si>
  <si>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</si>
  <si>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</si>
  <si>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</si>
  <si>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</si>
  <si>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</si>
  <si>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</si>
  <si>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</si>
  <si>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</si>
  <si>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</si>
  <si>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</si>
  <si>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</si>
  <si>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</si>
  <si>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</si>
  <si>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</si>
  <si>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</si>
  <si>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</si>
  <si>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</si>
  <si>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</si>
  <si>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</si>
  <si>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</si>
  <si>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</si>
  <si>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</si>
  <si>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</si>
  <si>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</si>
  <si>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</si>
  <si>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</si>
  <si>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</si>
  <si>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</si>
  <si>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</si>
  <si>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</si>
  <si>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</si>
  <si>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</si>
  <si>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</si>
  <si>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</si>
  <si>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</si>
  <si>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</si>
  <si>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</si>
  <si>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</si>
  <si>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</si>
  <si>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</si>
  <si>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</si>
  <si>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</si>
  <si>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</si>
  <si>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</si>
  <si>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</si>
  <si>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</si>
  <si>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</si>
  <si>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</si>
  <si>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</si>
  <si>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</si>
  <si>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</si>
  <si>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</si>
  <si>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</si>
  <si>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</si>
  <si>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</si>
  <si>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</si>
  <si>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</si>
  <si>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</si>
  <si>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</si>
  <si>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</si>
  <si>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</si>
  <si>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</si>
  <si>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</si>
  <si>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</si>
  <si>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</si>
  <si>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</si>
  <si>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</si>
  <si>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</si>
  <si>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</si>
  <si>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</si>
  <si>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</si>
  <si>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</si>
  <si>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</si>
  <si>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</si>
  <si>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</si>
  <si>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</si>
  <si>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</si>
  <si>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</si>
  <si>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</si>
  <si>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</si>
  <si>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</si>
  <si>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</si>
  <si>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</si>
  <si>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</si>
  <si>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</si>
  <si>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</si>
  <si>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</si>
  <si>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</si>
  <si>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</si>
  <si>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</si>
  <si>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</si>
  <si>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</si>
  <si>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</si>
  <si>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</si>
  <si>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</si>
  <si>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</si>
  <si>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</si>
  <si>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</si>
  <si>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</si>
  <si>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</si>
  <si>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</si>
  <si>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</si>
  <si>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</si>
  <si>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</si>
  <si>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</si>
  <si>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</si>
  <si>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</si>
  <si>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</si>
  <si>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</si>
  <si>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</si>
  <si>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</si>
  <si>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</si>
  <si>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</si>
  <si>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</si>
  <si>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</si>
  <si>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</si>
  <si>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</si>
  <si>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</si>
  <si>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</si>
  <si>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</si>
  <si>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</si>
  <si>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</si>
  <si>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</si>
  <si>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</si>
  <si>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</si>
  <si>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</si>
  <si>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</si>
  <si>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</si>
  <si>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</si>
  <si>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</si>
  <si>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</si>
  <si>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</si>
  <si>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</si>
  <si>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</si>
  <si>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</si>
  <si>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</si>
  <si>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</si>
  <si>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</si>
  <si>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</si>
  <si>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</si>
  <si>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</si>
  <si>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</si>
  <si>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</si>
  <si>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</si>
  <si>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</si>
  <si>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</si>
  <si>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</si>
  <si>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</si>
  <si>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</si>
  <si>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</si>
  <si>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</si>
  <si>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</si>
  <si>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</si>
  <si>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</si>
  <si>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</si>
  <si>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</si>
  <si>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</si>
  <si>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</si>
  <si>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</si>
  <si>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</si>
  <si>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</si>
  <si>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</si>
  <si>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</si>
  <si>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</si>
  <si>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</si>
  <si>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</si>
  <si>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</si>
  <si>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</si>
  <si>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</si>
  <si>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</si>
  <si>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</si>
  <si>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</si>
  <si>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</si>
  <si>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</si>
  <si>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</si>
  <si>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</si>
  <si>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</si>
  <si>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</si>
  <si>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</si>
  <si>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</si>
  <si>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</si>
  <si>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</si>
  <si>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</si>
  <si>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</si>
  <si>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</si>
  <si>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</si>
  <si>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</si>
  <si>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</si>
  <si>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</si>
  <si>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</si>
  <si>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</si>
  <si>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</si>
  <si>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</si>
  <si>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</si>
  <si>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</si>
  <si>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</si>
  <si>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</si>
  <si>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</si>
  <si>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</si>
  <si>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</si>
  <si>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</si>
  <si>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</si>
  <si>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</si>
  <si>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</si>
  <si>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</si>
  <si>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</si>
  <si>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</si>
  <si>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</si>
  <si>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</si>
  <si>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</si>
  <si>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</si>
  <si>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</si>
  <si>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</si>
  <si>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</si>
  <si>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</si>
  <si>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</si>
  <si>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</si>
  <si>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</si>
  <si>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</si>
  <si>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</si>
  <si>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</si>
  <si>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</si>
  <si>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</si>
  <si>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</si>
  <si>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</si>
  <si>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</si>
  <si>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</si>
  <si>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</si>
  <si>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</si>
  <si>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</si>
  <si>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</si>
  <si>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</si>
  <si>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</si>
  <si>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</si>
  <si>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</si>
  <si>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</si>
  <si>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</si>
  <si>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</si>
  <si>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</si>
  <si>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</si>
  <si>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</si>
  <si>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</si>
  <si>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</si>
  <si>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</si>
  <si>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</si>
  <si>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</si>
  <si>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</si>
  <si>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</si>
  <si>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</si>
  <si>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</si>
  <si>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</si>
  <si>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</si>
  <si>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</si>
  <si>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</si>
  <si>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</si>
  <si>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</si>
  <si>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</si>
  <si>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</si>
  <si>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</si>
  <si>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</si>
  <si>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</si>
  <si>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</si>
  <si>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</si>
  <si>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</si>
  <si>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</si>
  <si>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</si>
  <si>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</si>
  <si>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</si>
  <si>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</si>
  <si>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</si>
  <si>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</si>
  <si>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</si>
  <si>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</si>
  <si>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</si>
  <si>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</si>
  <si>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</si>
  <si>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</si>
  <si>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</si>
  <si>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</si>
  <si>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</si>
  <si>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</si>
  <si>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</si>
  <si>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</si>
  <si>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</si>
  <si>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</si>
  <si>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</si>
  <si>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</si>
  <si>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</si>
  <si>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</si>
  <si>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</si>
  <si>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</si>
  <si>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</si>
  <si>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</si>
  <si>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</si>
  <si>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</si>
  <si>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</si>
  <si>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</si>
  <si>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</si>
  <si>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</si>
  <si>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</si>
  <si>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</si>
  <si>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</si>
  <si>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</si>
  <si>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</si>
  <si>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</si>
  <si>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</si>
  <si>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</si>
  <si>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</si>
  <si>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</si>
  <si>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</si>
  <si>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</si>
  <si>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</si>
  <si>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</si>
  <si>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</si>
  <si>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</si>
  <si>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</si>
  <si>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</si>
  <si>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</si>
  <si>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</si>
  <si>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</si>
  <si>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</si>
  <si>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</si>
  <si>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</si>
  <si>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</si>
  <si>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</si>
  <si>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</si>
  <si>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</si>
  <si>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</si>
  <si>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</si>
  <si>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</si>
  <si>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</si>
  <si>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</si>
  <si>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</si>
  <si>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</si>
  <si>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</si>
  <si>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</si>
  <si>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</si>
  <si>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</si>
  <si>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</si>
  <si>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</si>
  <si>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</si>
  <si>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</si>
  <si>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</si>
  <si>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</si>
  <si>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</si>
  <si>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</si>
  <si>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</si>
  <si>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</si>
  <si>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</si>
  <si>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</si>
  <si>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</si>
  <si>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</si>
  <si>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</si>
  <si>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</si>
  <si>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</si>
  <si>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</si>
  <si>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</si>
  <si>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</si>
  <si>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</si>
  <si>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</si>
  <si>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</si>
  <si>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</si>
  <si>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</si>
  <si>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</si>
  <si>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</si>
  <si>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</si>
  <si>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</si>
  <si>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</si>
  <si>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</si>
  <si>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</si>
  <si>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</si>
  <si>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</si>
  <si>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</si>
  <si>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</si>
  <si>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</si>
  <si>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</si>
  <si>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</si>
  <si>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</si>
  <si>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</si>
  <si>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</si>
  <si>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</si>
  <si>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</si>
  <si>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</si>
  <si>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</si>
  <si>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</si>
  <si>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</si>
  <si>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</si>
  <si>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</si>
  <si>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</si>
  <si>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</si>
  <si>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</si>
  <si>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</si>
  <si>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</si>
  <si>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</si>
  <si>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</si>
  <si>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</si>
  <si>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</si>
  <si>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</si>
  <si>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</si>
  <si>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</si>
  <si>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</si>
  <si>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</si>
  <si>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</si>
  <si>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</si>
  <si>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</si>
  <si>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</si>
  <si>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</si>
  <si>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</si>
  <si>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</si>
  <si>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</si>
  <si>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</si>
  <si>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</si>
  <si>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</si>
  <si>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</si>
  <si>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</si>
  <si>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</si>
  <si>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</si>
  <si>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</si>
  <si>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</si>
  <si>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</si>
  <si>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</si>
  <si>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</si>
  <si>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</si>
  <si>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</si>
  <si>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</si>
  <si>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</si>
  <si>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</si>
  <si>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</si>
  <si>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</si>
  <si>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</si>
  <si>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</si>
  <si>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</si>
  <si>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</si>
  <si>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</si>
  <si>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</si>
  <si>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</si>
  <si>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</si>
  <si>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</si>
  <si>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</si>
  <si>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</si>
  <si>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</si>
  <si>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</si>
  <si>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</si>
  <si>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</si>
  <si>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</si>
  <si>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</si>
  <si>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</si>
  <si>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</si>
  <si>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</si>
  <si>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</si>
  <si>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</si>
  <si>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</si>
  <si>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</si>
  <si>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</si>
  <si>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</si>
  <si>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</si>
  <si>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</si>
  <si>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</si>
  <si>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</si>
  <si>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</si>
  <si>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</si>
  <si>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</si>
  <si>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</si>
  <si>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</si>
  <si>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</si>
  <si>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</si>
  <si>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</si>
  <si>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</si>
  <si>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</si>
  <si>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</si>
  <si>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</si>
  <si>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</si>
  <si>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</si>
  <si>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</si>
  <si>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</si>
  <si>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</si>
  <si>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</si>
  <si>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</si>
  <si>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</si>
  <si>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</si>
  <si>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</si>
  <si>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</si>
  <si>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</si>
  <si>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</si>
  <si>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</si>
  <si>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</si>
  <si>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</si>
  <si>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</si>
  <si>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</si>
  <si>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</si>
  <si>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</si>
  <si>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</si>
  <si>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</si>
  <si>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</si>
  <si>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</si>
  <si>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</si>
  <si>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</si>
  <si>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</si>
  <si>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</si>
  <si>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</si>
  <si>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</si>
  <si>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</si>
  <si>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</si>
  <si>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</si>
  <si>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</si>
  <si>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</si>
  <si>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</si>
  <si>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</si>
  <si>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</si>
  <si>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</si>
  <si>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</si>
  <si>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</si>
  <si>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</si>
  <si>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</si>
  <si>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</si>
  <si>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</si>
  <si>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</si>
  <si>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</si>
  <si>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</si>
  <si>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</si>
  <si>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</si>
  <si>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</si>
  <si>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</si>
  <si>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</si>
  <si>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</si>
  <si>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</si>
  <si>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</si>
  <si>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</si>
  <si>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</si>
  <si>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</si>
  <si>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</si>
  <si>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</si>
  <si>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</si>
  <si>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</si>
  <si>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</si>
  <si>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</si>
  <si>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</si>
  <si>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</si>
  <si>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</si>
  <si>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</si>
  <si>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</si>
  <si>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</si>
  <si>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</si>
  <si>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</si>
  <si>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</si>
  <si>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</si>
  <si>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</si>
  <si>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</si>
  <si>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</si>
  <si>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</si>
  <si>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</si>
  <si>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</si>
  <si>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</si>
  <si>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</si>
  <si>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</si>
  <si>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</si>
  <si>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</si>
  <si>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</si>
  <si>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</si>
  <si>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</si>
  <si>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</si>
  <si>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</si>
  <si>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</si>
  <si>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</si>
  <si>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</si>
  <si>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</si>
  <si>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</si>
  <si>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</si>
  <si>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</si>
  <si>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</si>
  <si>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</si>
  <si>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</si>
  <si>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</si>
  <si>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</si>
  <si>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</si>
  <si>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</si>
  <si>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</si>
  <si>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</si>
  <si>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</si>
  <si>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</si>
  <si>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</si>
  <si>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</si>
  <si>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</si>
  <si>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</si>
  <si>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</si>
  <si>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</si>
  <si>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</si>
  <si>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</si>
  <si>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</si>
  <si>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</si>
  <si>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</si>
  <si>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</si>
  <si>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</si>
  <si>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</si>
  <si>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</si>
  <si>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</si>
  <si>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</si>
  <si>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</si>
  <si>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</si>
  <si>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</si>
  <si>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</si>
  <si>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</si>
  <si>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</si>
  <si>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</si>
  <si>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</si>
  <si>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</si>
  <si>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</si>
  <si>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</si>
  <si>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</si>
  <si>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</si>
  <si>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</si>
  <si>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</si>
  <si>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</si>
  <si>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</si>
  <si>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</si>
  <si>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</si>
  <si>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</si>
  <si>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</si>
  <si>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</si>
  <si>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</si>
  <si>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</si>
  <si>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</si>
  <si>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</si>
  <si>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</si>
  <si>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</si>
  <si>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</si>
  <si>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</si>
  <si>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</si>
  <si>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</si>
  <si>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</si>
  <si>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</si>
  <si>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</si>
  <si>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</si>
  <si>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</si>
  <si>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</si>
  <si>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</si>
  <si>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</si>
  <si>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</si>
  <si>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</si>
  <si>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</si>
  <si>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</si>
  <si>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</si>
  <si>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</si>
  <si>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</si>
  <si>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</si>
  <si>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</si>
  <si>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</si>
  <si>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</si>
  <si>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</si>
  <si>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</si>
  <si>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</si>
  <si>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</si>
  <si>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</si>
  <si>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</si>
  <si>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</si>
  <si>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</si>
  <si>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</si>
  <si>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</si>
  <si>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</si>
  <si>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</si>
  <si>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</si>
  <si>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</si>
  <si>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</si>
  <si>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</si>
  <si>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</si>
  <si>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</si>
  <si>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</si>
  <si>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</si>
  <si>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</si>
  <si>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</si>
  <si>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</si>
  <si>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</si>
  <si>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</si>
  <si>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</si>
  <si>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</si>
  <si>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</si>
  <si>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</si>
  <si>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</si>
  <si>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</si>
  <si>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</si>
  <si>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</si>
  <si>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</si>
  <si>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</si>
  <si>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</si>
  <si>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</si>
  <si>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</si>
  <si>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</si>
  <si>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</si>
  <si>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</si>
  <si>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</si>
  <si>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</si>
  <si>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</si>
  <si>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</si>
  <si>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</si>
  <si>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</si>
  <si>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</si>
  <si>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</si>
  <si>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</si>
  <si>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</si>
  <si>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</si>
  <si>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</si>
  <si>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</si>
  <si>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</si>
  <si>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</si>
  <si>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</si>
  <si>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</si>
  <si>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</si>
  <si>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</si>
  <si>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</si>
  <si>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</si>
  <si>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</si>
  <si>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</si>
  <si>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</si>
  <si>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</si>
  <si>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</si>
  <si>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</si>
  <si>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</si>
  <si>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</si>
  <si>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</si>
  <si>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</si>
  <si>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</si>
  <si>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</si>
  <si>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</si>
  <si>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</si>
  <si>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</si>
  <si>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</si>
  <si>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</si>
  <si>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</si>
  <si>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</si>
  <si>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</si>
  <si>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</si>
  <si>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</si>
  <si>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</si>
  <si>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</si>
  <si>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</si>
  <si>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</si>
  <si>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</si>
  <si>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</si>
  <si>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</si>
  <si>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</si>
  <si>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</si>
  <si>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</si>
  <si>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</si>
  <si>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</si>
  <si>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</si>
  <si>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</si>
  <si>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</si>
  <si>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</si>
  <si>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</si>
  <si>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</si>
  <si>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</si>
  <si>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</si>
  <si>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</si>
  <si>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</si>
  <si>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</si>
  <si>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</si>
  <si>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</si>
  <si>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</si>
  <si>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</si>
  <si>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</si>
  <si>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</si>
  <si>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</si>
  <si>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</si>
  <si>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</si>
  <si>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</si>
  <si>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</si>
  <si>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</si>
  <si>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</si>
  <si>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</si>
  <si>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</si>
  <si>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</si>
  <si>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</si>
  <si>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</si>
  <si>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</si>
  <si>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</si>
  <si>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</si>
  <si>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</si>
  <si>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</si>
  <si>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</si>
  <si>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</si>
  <si>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</si>
  <si>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</si>
  <si>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</si>
  <si>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</si>
  <si>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</si>
  <si>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</si>
  <si>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</si>
  <si>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</si>
  <si>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</si>
  <si>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</si>
  <si>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</si>
  <si>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</si>
  <si>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</si>
  <si>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</si>
  <si>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</si>
  <si>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</si>
  <si>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</si>
  <si>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</si>
  <si>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</si>
  <si>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</si>
  <si>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</si>
  <si>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</si>
  <si>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</si>
  <si>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</si>
  <si>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</si>
  <si>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</si>
  <si>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</si>
  <si>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</si>
  <si>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</si>
  <si>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</si>
  <si>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</si>
  <si>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</si>
  <si>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</si>
  <si>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</si>
  <si>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</si>
  <si>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</si>
  <si>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</si>
  <si>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</si>
  <si>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</si>
  <si>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</si>
  <si>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</si>
  <si>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</si>
  <si>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</si>
  <si>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</si>
  <si>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</si>
  <si>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</si>
  <si>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</si>
  <si>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</si>
  <si>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</si>
  <si>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</si>
  <si>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</si>
  <si>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</si>
  <si>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</si>
  <si>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</si>
  <si>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</si>
  <si>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</si>
  <si>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</si>
  <si>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</si>
  <si>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</si>
  <si>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</si>
  <si>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</si>
  <si>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</si>
  <si>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</si>
  <si>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</si>
  <si>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</si>
  <si>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</si>
  <si>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</si>
  <si>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</si>
  <si>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</si>
  <si>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</si>
  <si>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</si>
  <si>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</si>
  <si>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</si>
  <si>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</si>
  <si>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</si>
  <si>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</si>
  <si>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</si>
  <si>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</si>
  <si>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</si>
  <si>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</si>
  <si>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</si>
  <si>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</si>
  <si>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</si>
  <si>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</si>
  <si>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</si>
  <si>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</si>
  <si>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</si>
  <si>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</si>
  <si>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</si>
  <si>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</si>
  <si>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</si>
  <si>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</si>
  <si>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</si>
  <si>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</si>
  <si>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</si>
  <si>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</si>
  <si>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</si>
  <si>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</si>
  <si>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</si>
  <si>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</si>
  <si>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</si>
  <si>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</si>
  <si>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</si>
  <si>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</si>
  <si>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</si>
  <si>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</si>
  <si>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</si>
  <si>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</si>
  <si>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</si>
  <si>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</si>
  <si>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</si>
  <si>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</si>
  <si>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</si>
  <si>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</si>
  <si>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</si>
  <si>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</si>
  <si>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</si>
  <si>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</si>
  <si>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</si>
  <si>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</si>
  <si>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</si>
  <si>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</si>
  <si>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</si>
  <si>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</si>
  <si>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</si>
  <si>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</si>
  <si>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</si>
  <si>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</si>
  <si>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</si>
  <si>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</si>
  <si>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</si>
  <si>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</si>
  <si>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</si>
  <si>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</si>
  <si>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</si>
  <si>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</si>
  <si>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</si>
  <si>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</si>
  <si>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</si>
  <si>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</si>
  <si>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</si>
  <si>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</si>
  <si>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</si>
  <si>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</si>
  <si>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</si>
  <si>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</si>
  <si>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</si>
  <si>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</si>
  <si>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</si>
  <si>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</si>
  <si>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</si>
  <si>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</si>
  <si>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</si>
  <si>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</si>
  <si>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</si>
  <si>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</si>
  <si>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</si>
  <si>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</si>
  <si>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</si>
  <si>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</si>
  <si>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</si>
  <si>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</si>
  <si>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</si>
  <si>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</si>
  <si>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</si>
  <si>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</si>
  <si>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</si>
  <si>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</si>
  <si>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</si>
  <si>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</si>
  <si>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</si>
  <si>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</si>
  <si>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</si>
  <si>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</si>
  <si>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</si>
  <si>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</si>
  <si>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</si>
  <si>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</si>
  <si>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</si>
  <si>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</si>
  <si>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</si>
  <si>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</si>
  <si>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</si>
  <si>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</si>
  <si>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</si>
  <si>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</si>
  <si>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</si>
  <si>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</si>
  <si>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</si>
  <si>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</si>
  <si>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</si>
  <si>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</si>
  <si>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</si>
  <si>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</si>
  <si>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</si>
  <si>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</si>
  <si>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</si>
  <si>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</si>
  <si>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</si>
  <si>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</si>
  <si>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</si>
  <si>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</si>
  <si>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</si>
  <si>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</si>
  <si>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</si>
  <si>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</si>
  <si>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</si>
  <si>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</si>
  <si>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</si>
  <si>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</si>
  <si>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</si>
  <si>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</si>
  <si>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</si>
  <si>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</si>
  <si>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</si>
  <si>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</si>
  <si>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</si>
  <si>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</si>
  <si>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</si>
  <si>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</si>
  <si>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</si>
  <si>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</si>
  <si>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</si>
  <si>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</si>
  <si>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</si>
  <si>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</si>
  <si>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</si>
  <si>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</si>
  <si>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</si>
  <si>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</si>
  <si>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</si>
  <si>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</si>
  <si>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</si>
  <si>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</si>
  <si>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</si>
  <si>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</si>
  <si>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</si>
  <si>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</si>
  <si>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</si>
  <si>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</si>
  <si>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</si>
  <si>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</si>
  <si>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</si>
  <si>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</si>
  <si>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</si>
  <si>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</si>
  <si>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</si>
  <si>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</si>
  <si>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</si>
  <si>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</si>
  <si>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</si>
  <si>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</si>
  <si>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</si>
  <si>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</si>
  <si>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</si>
  <si>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</si>
  <si>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</si>
  <si>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</si>
  <si>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</si>
  <si>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</si>
  <si>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</si>
  <si>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</si>
  <si>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</si>
  <si>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</si>
  <si>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</si>
  <si>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</si>
  <si>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</si>
  <si>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</si>
  <si>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</si>
  <si>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</si>
  <si>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</si>
  <si>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</si>
  <si>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</si>
  <si>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</si>
  <si>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</si>
  <si>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</si>
  <si>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</si>
  <si>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</si>
  <si>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</si>
  <si>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</si>
  <si>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</si>
  <si>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</si>
  <si>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</si>
  <si>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</si>
  <si>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</si>
  <si>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</si>
  <si>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</si>
  <si>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</si>
  <si>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</si>
  <si>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</si>
  <si>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</si>
  <si>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</si>
  <si>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</si>
  <si>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</si>
  <si>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</si>
  <si>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</si>
  <si>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</si>
  <si>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</si>
  <si>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</si>
  <si>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</si>
  <si>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</si>
  <si>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</si>
  <si>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</si>
  <si>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</si>
  <si>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</si>
  <si>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</si>
  <si>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</si>
  <si>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</si>
  <si>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</si>
  <si>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</si>
  <si>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</si>
  <si>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</si>
  <si>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</si>
  <si>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</si>
  <si>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</si>
  <si>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</si>
  <si>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</si>
  <si>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</si>
  <si>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</si>
  <si>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</si>
  <si>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</si>
  <si>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</si>
  <si>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</si>
  <si>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</si>
  <si>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</si>
  <si>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</si>
  <si>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</si>
  <si>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</si>
  <si>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</si>
  <si>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</si>
  <si>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</si>
  <si>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</si>
  <si>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</si>
  <si>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</si>
  <si>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</si>
  <si>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</si>
  <si>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</si>
  <si>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</si>
  <si>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</si>
  <si>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</si>
  <si>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</si>
  <si>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</si>
  <si>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</si>
  <si>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</si>
  <si>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</si>
  <si>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</si>
  <si>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</si>
  <si>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</si>
  <si>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</si>
  <si>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</si>
  <si>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</si>
  <si>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</si>
  <si>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</si>
  <si>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</si>
  <si>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</si>
  <si>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</si>
  <si>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</si>
  <si>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</si>
  <si>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</si>
  <si>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</si>
  <si>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</si>
  <si>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</si>
  <si>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</si>
  <si>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</si>
  <si>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</si>
  <si>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</si>
  <si>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</si>
  <si>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</si>
  <si>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</si>
  <si>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</si>
  <si>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</si>
  <si>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</si>
  <si>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</si>
  <si>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</si>
  <si>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</si>
  <si>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</si>
  <si>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</si>
  <si>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</si>
  <si>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</si>
  <si>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</si>
  <si>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</si>
  <si>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</si>
  <si>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</si>
  <si>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</si>
  <si>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</si>
  <si>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</si>
  <si>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</si>
  <si>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</si>
  <si>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</si>
  <si>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</si>
  <si>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</si>
  <si>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</si>
  <si>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</si>
  <si>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</si>
  <si>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</si>
  <si>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</si>
  <si>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</si>
  <si>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</si>
  <si>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</si>
  <si>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</si>
  <si>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</si>
  <si>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</si>
  <si>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</si>
  <si>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</si>
  <si>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</si>
  <si>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</si>
  <si>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</si>
  <si>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</si>
  <si>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</si>
  <si>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</si>
  <si>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</si>
  <si>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</si>
  <si>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</si>
  <si>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</si>
  <si>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</si>
  <si>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</si>
  <si>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</si>
  <si>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</si>
  <si>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</si>
  <si>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</si>
  <si>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</si>
  <si>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</si>
  <si>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</si>
  <si>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</si>
  <si>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</si>
  <si>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</si>
  <si>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</si>
  <si>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</si>
  <si>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</si>
  <si>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</si>
  <si>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</si>
  <si>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</si>
  <si>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</si>
  <si>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</si>
  <si>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</si>
  <si>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</si>
  <si>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</si>
  <si>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</si>
  <si>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</si>
  <si>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</si>
  <si>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</si>
  <si>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</si>
  <si>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</si>
  <si>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</si>
  <si>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</si>
  <si>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</si>
  <si>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</si>
  <si>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</si>
  <si>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</si>
  <si>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</si>
  <si>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</si>
  <si>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</si>
  <si>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</si>
  <si>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</si>
  <si>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</si>
  <si>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</si>
  <si>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</si>
  <si>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</si>
  <si>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</si>
  <si>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</si>
  <si>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</si>
  <si>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</si>
  <si>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</si>
  <si>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</si>
  <si>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</si>
  <si>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</si>
  <si>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</si>
  <si>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</si>
  <si>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</si>
  <si>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</si>
  <si>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</si>
  <si>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</si>
  <si>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</si>
  <si>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</si>
  <si>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</si>
  <si>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</si>
  <si>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</si>
  <si>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</si>
  <si>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</si>
  <si>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</si>
  <si>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</si>
  <si>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</si>
  <si>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</si>
  <si>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</si>
  <si>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</si>
  <si>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</si>
  <si>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</si>
  <si>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</si>
  <si>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</si>
  <si>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</si>
  <si>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</si>
  <si>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</si>
  <si>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</si>
  <si>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</si>
  <si>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</si>
  <si>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</si>
  <si>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</si>
  <si>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</si>
  <si>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</si>
  <si>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</si>
  <si>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</si>
  <si>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</si>
  <si>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</si>
  <si>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</si>
  <si>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</si>
  <si>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</si>
  <si>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</si>
  <si>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</si>
  <si>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</si>
  <si>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</si>
  <si>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</si>
  <si>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</si>
  <si>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</si>
  <si>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</si>
  <si>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</si>
  <si>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</si>
  <si>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</si>
  <si>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</si>
  <si>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</si>
  <si>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</si>
  <si>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</si>
  <si>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</si>
  <si>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</si>
  <si>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</si>
  <si>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</si>
  <si>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</si>
  <si>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</si>
  <si>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</si>
  <si>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</si>
  <si>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</si>
  <si>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</si>
  <si>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</si>
  <si>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</si>
  <si>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</si>
  <si>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</si>
  <si>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</si>
  <si>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</si>
  <si>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</si>
  <si>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</si>
  <si>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</si>
  <si>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</si>
  <si>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</si>
  <si>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</si>
  <si>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</si>
  <si>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</si>
  <si>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</si>
  <si>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</si>
  <si>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</si>
  <si>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</si>
  <si>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</si>
  <si>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</si>
  <si>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</si>
  <si>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</si>
  <si>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</si>
  <si>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</si>
  <si>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</si>
  <si>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</si>
  <si>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</si>
  <si>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</si>
  <si>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</si>
  <si>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</si>
  <si>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</si>
  <si>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</si>
  <si>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</si>
  <si>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</si>
  <si>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</si>
  <si>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</si>
  <si>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</si>
  <si>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</si>
  <si>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</si>
  <si>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</si>
  <si>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</si>
  <si>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</si>
  <si>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</si>
  <si>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</si>
  <si>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</si>
  <si>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</si>
  <si>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</si>
  <si>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</si>
  <si>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</si>
  <si>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</si>
  <si>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</si>
  <si>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</si>
  <si>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</si>
  <si>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</si>
  <si>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</si>
  <si>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</si>
  <si>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</si>
  <si>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</si>
  <si>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</si>
  <si>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</si>
  <si>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</si>
  <si>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</si>
  <si>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</si>
  <si>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</si>
  <si>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</si>
  <si>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</si>
  <si>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</si>
  <si>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</si>
  <si>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</si>
  <si>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</si>
  <si>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</si>
  <si>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</si>
  <si>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</si>
  <si>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</si>
  <si>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</si>
  <si>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</si>
  <si>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</si>
  <si>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</si>
  <si>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</si>
  <si>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</si>
  <si>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</si>
  <si>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</si>
  <si>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</si>
  <si>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</si>
  <si>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</si>
  <si>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</si>
  <si>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</si>
  <si>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</si>
  <si>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</si>
  <si>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</si>
  <si>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</si>
  <si>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</si>
  <si>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</si>
  <si>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</si>
  <si>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</si>
  <si>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</si>
  <si>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</si>
  <si>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</si>
  <si>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</si>
  <si>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</si>
  <si>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</si>
  <si>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</si>
  <si>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</si>
  <si>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</si>
  <si>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</si>
  <si>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</si>
  <si>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</si>
  <si>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</si>
  <si>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</si>
  <si>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</si>
  <si>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</si>
  <si>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</si>
  <si>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</si>
  <si>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</si>
  <si>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</si>
  <si>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</si>
  <si>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</si>
  <si>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</si>
  <si>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</si>
  <si>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</si>
  <si>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</si>
  <si>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</si>
  <si>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</si>
  <si>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</si>
  <si>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</si>
  <si>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</si>
  <si>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</si>
  <si>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</si>
  <si>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</si>
  <si>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</si>
  <si>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</si>
  <si>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</si>
  <si>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</si>
  <si>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</si>
  <si>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</si>
  <si>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</si>
  <si>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</si>
  <si>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</si>
  <si>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</si>
  <si>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</si>
  <si>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</si>
  <si>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</si>
  <si>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</si>
  <si>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</si>
  <si>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</si>
  <si>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</si>
  <si>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</si>
  <si>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</si>
  <si>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</si>
  <si>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</si>
  <si>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</si>
  <si>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</si>
  <si>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</si>
  <si>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</si>
  <si>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</si>
  <si>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</si>
  <si>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</si>
  <si>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</si>
  <si>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</si>
  <si>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</si>
  <si>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</si>
  <si>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</si>
  <si>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</si>
  <si>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</si>
  <si>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</si>
  <si>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</si>
  <si>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</si>
  <si>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</si>
  <si>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</si>
  <si>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</si>
  <si>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</si>
  <si>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</si>
  <si>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</si>
  <si>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</si>
  <si>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</si>
  <si>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</si>
  <si>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</si>
  <si>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</si>
  <si>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</si>
  <si>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</si>
  <si>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</si>
  <si>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</si>
  <si>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</si>
  <si>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</si>
  <si>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</si>
  <si>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</si>
  <si>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</si>
  <si>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</si>
  <si>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</si>
  <si>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</si>
  <si>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</si>
  <si>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</si>
  <si>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</si>
  <si>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</si>
  <si>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</si>
  <si>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</si>
  <si>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</si>
  <si>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</si>
  <si>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</si>
  <si>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</si>
  <si>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</si>
  <si>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</si>
  <si>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</si>
  <si>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</si>
  <si>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</si>
  <si>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</si>
  <si>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</si>
  <si>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</si>
  <si>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</si>
  <si>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</si>
  <si>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</si>
  <si>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</si>
  <si>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</si>
  <si>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</si>
  <si>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</si>
  <si>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</si>
  <si>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</si>
  <si>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</si>
  <si>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</si>
  <si>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</si>
  <si>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</si>
  <si>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</si>
  <si>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</si>
  <si>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</si>
  <si>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</si>
  <si>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</si>
  <si>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</si>
  <si>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</si>
  <si>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</si>
  <si>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</si>
  <si>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</si>
  <si>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</si>
  <si>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</si>
  <si>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</si>
  <si>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</si>
  <si>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</si>
  <si>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</si>
  <si>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</si>
  <si>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</si>
  <si>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</si>
  <si>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</si>
  <si>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</si>
  <si>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</si>
  <si>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</si>
  <si>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</si>
  <si>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</si>
  <si>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</si>
  <si>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</si>
  <si>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</si>
  <si>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</si>
  <si>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</si>
  <si>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</si>
  <si>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</si>
  <si>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</si>
  <si>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</si>
  <si>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</si>
  <si>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</si>
  <si>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</si>
  <si>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</si>
  <si>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</si>
  <si>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</si>
  <si>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</si>
  <si>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</si>
  <si>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</si>
  <si>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</si>
  <si>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</si>
  <si>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</si>
  <si>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</si>
  <si>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</si>
  <si>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</si>
  <si>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</si>
  <si>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</si>
  <si>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</si>
  <si>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</si>
  <si>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</si>
  <si>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</si>
  <si>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</si>
  <si>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</si>
  <si>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</si>
  <si>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</si>
  <si>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</si>
  <si>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</si>
  <si>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</si>
  <si>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</si>
  <si>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</si>
  <si>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</si>
  <si>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</si>
  <si>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</si>
  <si>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</si>
  <si>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</si>
  <si>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</si>
  <si>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</si>
  <si>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</si>
  <si>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</si>
  <si>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</si>
  <si>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</si>
  <si>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</si>
  <si>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</si>
  <si>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</si>
  <si>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</si>
  <si>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</si>
  <si>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</si>
  <si>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</si>
  <si>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</si>
  <si>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</si>
  <si>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</si>
  <si>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</si>
  <si>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</si>
  <si>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</si>
  <si>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</si>
  <si>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</si>
  <si>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</si>
  <si>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</si>
  <si>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</si>
  <si>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</si>
  <si>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</si>
  <si>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</si>
  <si>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</si>
  <si>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</si>
  <si>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</si>
  <si>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</si>
  <si>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</si>
  <si>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</si>
  <si>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</si>
  <si>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</si>
  <si>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</si>
  <si>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</si>
  <si>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</si>
  <si>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</si>
  <si>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</si>
  <si>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</si>
  <si>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</si>
  <si>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</si>
  <si>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</si>
  <si>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</si>
  <si>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</si>
  <si>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</si>
  <si>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</si>
  <si>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</si>
  <si>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</si>
  <si>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</si>
  <si>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</si>
  <si>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</si>
  <si>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</si>
  <si>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</si>
  <si>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</si>
  <si>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</si>
  <si>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</si>
  <si>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</si>
  <si>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</si>
  <si>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</si>
  <si>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</si>
  <si>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</si>
  <si>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</si>
  <si>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</si>
  <si>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</si>
  <si>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</si>
  <si>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</si>
  <si>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</si>
  <si>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</si>
  <si>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</si>
  <si>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</si>
  <si>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</si>
  <si>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</si>
  <si>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</si>
  <si>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</si>
  <si>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</si>
  <si>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</si>
  <si>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</si>
  <si>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</si>
  <si>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</si>
  <si>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</si>
  <si>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</si>
  <si>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</si>
  <si>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</si>
  <si>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</si>
  <si>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</si>
  <si>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</si>
  <si>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</si>
  <si>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</si>
  <si>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</si>
  <si>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</si>
  <si>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</si>
  <si>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</si>
  <si>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</si>
  <si>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</si>
  <si>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</si>
  <si>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</si>
  <si>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</si>
  <si>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</si>
  <si>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</si>
  <si>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</si>
  <si>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</si>
  <si>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</si>
  <si>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</si>
  <si>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</si>
  <si>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</si>
  <si>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</si>
  <si>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</si>
  <si>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</si>
  <si>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</si>
  <si>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</si>
  <si>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</si>
  <si>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</si>
  <si>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</si>
  <si>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</si>
  <si>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</si>
  <si>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</si>
  <si>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</si>
  <si>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</si>
  <si>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</si>
  <si>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</si>
  <si>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</si>
  <si>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</si>
  <si>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</si>
  <si>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</si>
  <si>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</si>
  <si>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</si>
  <si>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</si>
  <si>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</si>
  <si>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</si>
  <si>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</si>
  <si>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</si>
  <si>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</si>
  <si>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</si>
  <si>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</si>
  <si>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</si>
  <si>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</si>
  <si>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</si>
  <si>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</si>
  <si>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</si>
  <si>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</si>
  <si>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</si>
  <si>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</si>
  <si>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</si>
  <si>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</si>
  <si>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</si>
  <si>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</si>
  <si>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</si>
  <si>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</si>
  <si>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</si>
  <si>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</si>
  <si>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</si>
  <si>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</si>
  <si>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</si>
  <si>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</si>
  <si>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</si>
  <si>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</si>
  <si>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</si>
  <si>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</si>
  <si>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</si>
  <si>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</si>
  <si>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</si>
  <si>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</si>
  <si>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</si>
  <si>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</si>
  <si>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</si>
  <si>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</si>
  <si>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</si>
  <si>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</si>
  <si>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</si>
  <si>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</si>
  <si>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</si>
  <si>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</si>
  <si>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</si>
  <si>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</si>
  <si>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</si>
  <si>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</si>
  <si>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</si>
  <si>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</si>
  <si>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</si>
  <si>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</si>
  <si>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</si>
  <si>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</si>
  <si>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</si>
  <si>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</si>
  <si>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</si>
  <si>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</si>
  <si>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</si>
  <si>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</si>
  <si>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</si>
  <si>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</si>
  <si>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</si>
  <si>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</si>
  <si>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</si>
  <si>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</si>
  <si>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</si>
  <si>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</si>
  <si>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</si>
  <si>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</si>
  <si>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</si>
  <si>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</si>
  <si>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</si>
  <si>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</si>
  <si>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</si>
  <si>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</si>
  <si>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</si>
  <si>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</si>
  <si>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</si>
  <si>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</si>
  <si>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</si>
  <si>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</si>
  <si>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</si>
  <si>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</si>
  <si>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</si>
  <si>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</si>
  <si>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</si>
  <si>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</si>
  <si>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</si>
  <si>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</si>
  <si>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</si>
  <si>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</si>
  <si>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</si>
  <si>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</si>
  <si>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</si>
  <si>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</si>
  <si>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</si>
  <si>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</si>
  <si>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</si>
  <si>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</si>
  <si>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</si>
  <si>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</si>
  <si>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</si>
  <si>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</si>
  <si>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</si>
  <si>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</si>
  <si>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</si>
  <si>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</si>
  <si>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</si>
  <si>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</si>
  <si>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</si>
  <si>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</si>
  <si>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</si>
  <si>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</si>
  <si>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</si>
  <si>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</si>
  <si>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</si>
  <si>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</si>
  <si>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</si>
  <si>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</si>
  <si>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</si>
  <si>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</si>
  <si>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</si>
  <si>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</si>
  <si>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</si>
  <si>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</si>
  <si>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</si>
  <si>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</si>
  <si>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</si>
  <si>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</si>
  <si>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</si>
  <si>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</si>
  <si>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</si>
  <si>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</si>
  <si>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</si>
  <si>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</si>
  <si>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</si>
  <si>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</si>
  <si>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</si>
  <si>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</si>
  <si>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</si>
  <si>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</si>
  <si>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</si>
  <si>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</si>
  <si>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</si>
  <si>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</si>
  <si>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</si>
  <si>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</si>
  <si>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</si>
  <si>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</si>
  <si>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</si>
  <si>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</si>
  <si>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</si>
  <si>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</si>
  <si>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</si>
  <si>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</si>
  <si>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</si>
  <si>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</si>
  <si>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</si>
  <si>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</si>
  <si>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</si>
  <si>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</si>
  <si>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</si>
  <si>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</si>
  <si>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</si>
  <si>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</si>
  <si>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</si>
  <si>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</si>
  <si>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</si>
  <si>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</si>
  <si>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</si>
  <si>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</si>
  <si>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</si>
  <si>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</si>
  <si>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</si>
  <si>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</si>
  <si>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</si>
  <si>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</si>
  <si>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</si>
  <si>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</si>
  <si>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</si>
  <si>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</si>
  <si>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</si>
  <si>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</si>
  <si>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</si>
  <si>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</si>
  <si>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</si>
  <si>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</si>
  <si>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</si>
  <si>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</si>
  <si>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</si>
  <si>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</si>
  <si>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</si>
  <si>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</si>
  <si>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</si>
  <si>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</si>
  <si>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</si>
  <si>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</si>
  <si>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</si>
  <si>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</si>
  <si>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</si>
  <si>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</si>
  <si>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</si>
  <si>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</si>
  <si>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</si>
  <si>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</si>
  <si>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</si>
  <si>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</si>
  <si>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</si>
  <si>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</si>
  <si>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</si>
  <si>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</si>
  <si>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</si>
  <si>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</si>
  <si>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</si>
  <si>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</si>
  <si>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</si>
  <si>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</si>
  <si>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</si>
  <si>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</si>
  <si>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</si>
  <si>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</si>
  <si>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</si>
  <si>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</si>
  <si>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</si>
  <si>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</si>
  <si>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</si>
  <si>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</si>
  <si>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</si>
  <si>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</si>
  <si>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</si>
  <si>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</si>
  <si>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</si>
  <si>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</si>
  <si>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</si>
  <si>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</si>
  <si>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</si>
  <si>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</si>
  <si>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</si>
  <si>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</si>
  <si>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</si>
  <si>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</si>
  <si>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</si>
  <si>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</si>
  <si>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</si>
  <si>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</si>
  <si>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</si>
  <si>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</si>
  <si>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</si>
  <si>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</si>
  <si>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</si>
  <si>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</si>
  <si>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</si>
  <si>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</si>
  <si>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</si>
  <si>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</si>
  <si>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</si>
  <si>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</si>
  <si>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</si>
  <si>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</si>
  <si>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</si>
  <si>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</si>
  <si>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</si>
  <si>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</si>
  <si>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</si>
  <si>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</si>
  <si>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</si>
  <si>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</si>
  <si>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</si>
  <si>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</si>
  <si>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</si>
  <si>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</si>
  <si>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</si>
  <si>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</si>
  <si>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</si>
  <si>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</si>
  <si>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</si>
  <si>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</si>
  <si>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</si>
  <si>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</si>
  <si>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</si>
  <si>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</si>
  <si>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</si>
  <si>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</si>
  <si>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</si>
  <si>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</si>
  <si>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</si>
  <si>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</si>
  <si>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</si>
  <si>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</si>
  <si>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</si>
  <si>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</si>
  <si>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</si>
  <si>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</si>
  <si>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</si>
  <si>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</si>
  <si>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</si>
  <si>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</si>
  <si>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</si>
  <si>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</si>
  <si>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</si>
  <si>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</si>
  <si>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</si>
  <si>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</si>
  <si>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</si>
  <si>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</si>
  <si>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</si>
  <si>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</si>
  <si>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</si>
  <si>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</si>
  <si>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</si>
  <si>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</si>
  <si>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</si>
  <si>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</si>
  <si>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</si>
  <si>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</si>
  <si>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</si>
  <si>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</si>
  <si>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</si>
  <si>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</si>
  <si>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</si>
  <si>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</si>
  <si>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</si>
  <si>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</si>
  <si>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</si>
  <si>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</si>
  <si>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</si>
  <si>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</si>
  <si>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</si>
  <si>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</si>
  <si>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</si>
  <si>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</si>
  <si>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</si>
  <si>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</si>
  <si>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</si>
  <si>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</si>
  <si>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</si>
  <si>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</si>
  <si>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</si>
  <si>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</si>
  <si>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</si>
  <si>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</si>
  <si>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</si>
  <si>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</si>
  <si>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</si>
  <si>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</si>
  <si>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</si>
  <si>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</si>
  <si>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</si>
  <si>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</si>
  <si>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</si>
  <si>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</si>
  <si>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</si>
  <si>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</si>
  <si>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</si>
  <si>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</si>
  <si>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</si>
  <si>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</si>
  <si>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</si>
  <si>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</si>
  <si>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</si>
  <si>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</si>
  <si>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</si>
  <si>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</si>
  <si>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</si>
  <si>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</si>
  <si>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</si>
  <si>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</si>
  <si>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</si>
  <si>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</si>
  <si>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</si>
  <si>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</si>
  <si>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</si>
  <si>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</si>
  <si>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</si>
  <si>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</si>
  <si>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</si>
  <si>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</si>
  <si>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</si>
  <si>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</si>
  <si>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</si>
  <si>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</si>
  <si>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</si>
  <si>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</si>
  <si>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</si>
  <si>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</si>
  <si>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</si>
  <si>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</si>
  <si>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</si>
  <si>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</si>
  <si>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</si>
  <si>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</si>
  <si>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</si>
  <si>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</si>
  <si>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</si>
  <si>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</si>
  <si>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</si>
  <si>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</si>
  <si>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</si>
  <si>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</si>
  <si>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</si>
  <si>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</si>
  <si>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</si>
  <si>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</si>
  <si>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</si>
  <si>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</si>
  <si>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</si>
  <si>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</si>
  <si>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</si>
  <si>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</si>
  <si>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</si>
  <si>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</si>
  <si>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</si>
  <si>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</si>
  <si>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</si>
  <si>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</si>
  <si>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</si>
  <si>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</si>
  <si>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</si>
  <si>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</si>
  <si>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</si>
  <si>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</si>
  <si>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</si>
  <si>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</si>
  <si>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</si>
  <si>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</si>
  <si>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</si>
  <si>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</si>
  <si>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</si>
  <si>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</si>
  <si>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</si>
  <si>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</si>
  <si>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</si>
  <si>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</si>
  <si>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</si>
  <si>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</si>
  <si>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</si>
  <si>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</si>
  <si>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</si>
  <si>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</si>
  <si>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</si>
  <si>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</si>
  <si>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</si>
  <si>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</si>
  <si>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</si>
  <si>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</si>
  <si>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</si>
  <si>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</si>
  <si>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</si>
  <si>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</si>
  <si>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</si>
  <si>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</si>
  <si>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</si>
  <si>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</si>
  <si>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</si>
  <si>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</si>
  <si>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</si>
  <si>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</si>
  <si>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</si>
  <si>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</si>
  <si>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</si>
  <si>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</si>
  <si>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</si>
  <si>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</si>
  <si>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</si>
  <si>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</si>
  <si>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</si>
  <si>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</si>
  <si>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</si>
  <si>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</si>
  <si>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</si>
  <si>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</si>
  <si>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</si>
  <si>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</si>
  <si>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</si>
  <si>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</si>
  <si>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</si>
  <si>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</si>
  <si>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</si>
  <si>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</si>
  <si>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</si>
  <si>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</si>
  <si>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</si>
  <si>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</si>
  <si>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</si>
  <si>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</si>
  <si>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</si>
  <si>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</si>
  <si>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</si>
  <si>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</si>
  <si>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</si>
  <si>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</si>
  <si>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</si>
  <si>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</si>
  <si>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</si>
  <si>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</si>
  <si>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</si>
  <si>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</si>
  <si>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</si>
  <si>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</si>
  <si>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</si>
  <si>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</si>
  <si>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</si>
  <si>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</si>
  <si>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</si>
  <si>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</si>
  <si>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</si>
  <si>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</si>
  <si>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</si>
  <si>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</si>
  <si>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</si>
  <si>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</si>
  <si>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</si>
  <si>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</si>
  <si>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</si>
  <si>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</si>
  <si>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</si>
  <si>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</si>
  <si>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</si>
  <si>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</si>
  <si>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</si>
  <si>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</si>
  <si>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</si>
  <si>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</si>
  <si>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</si>
  <si>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</si>
  <si>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</si>
  <si>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</si>
  <si>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</si>
  <si>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</si>
  <si>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</si>
  <si>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</si>
  <si>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</si>
  <si>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</si>
  <si>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</si>
  <si>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</si>
  <si>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</si>
  <si>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</si>
  <si>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</si>
  <si>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</si>
  <si>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</si>
  <si>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</si>
  <si>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</si>
  <si>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</si>
  <si>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</si>
  <si>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</si>
  <si>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</si>
  <si>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</si>
  <si>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</si>
  <si>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</si>
  <si>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</si>
  <si>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</si>
  <si>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</si>
  <si>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</si>
  <si>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</si>
  <si>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</si>
  <si>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</si>
  <si>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</si>
  <si>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</si>
  <si>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</si>
  <si>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</si>
  <si>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</si>
  <si>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</si>
  <si>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</si>
  <si>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</si>
  <si>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</si>
  <si>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</si>
  <si>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</si>
  <si>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</si>
  <si>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</si>
  <si>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</si>
  <si>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</si>
  <si>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</si>
  <si>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</si>
  <si>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</si>
  <si>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</si>
  <si>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</si>
  <si>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</si>
  <si>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</si>
  <si>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</si>
  <si>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</si>
  <si>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</si>
  <si>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</si>
  <si>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</si>
  <si>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</si>
  <si>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</si>
  <si>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</si>
  <si>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</si>
  <si>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</si>
  <si>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</si>
  <si>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</si>
  <si>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</si>
  <si>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</si>
  <si>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</si>
  <si>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</si>
  <si>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</si>
  <si>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</si>
  <si>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</si>
  <si>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</si>
  <si>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</si>
  <si>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</si>
  <si>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</si>
  <si>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</si>
  <si>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</si>
  <si>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</si>
  <si>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</si>
  <si>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</si>
  <si>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</si>
  <si>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</si>
  <si>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</si>
  <si>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</si>
  <si>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</si>
  <si>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</si>
  <si>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</si>
  <si>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</si>
  <si>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</si>
  <si>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</si>
  <si>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</si>
  <si>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</si>
  <si>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</si>
  <si>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</si>
  <si>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</si>
  <si>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</si>
  <si>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</si>
  <si>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</si>
  <si>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</si>
  <si>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</si>
  <si>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</si>
  <si>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</si>
  <si>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</si>
  <si>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</si>
  <si>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</si>
  <si>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</si>
  <si>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</si>
  <si>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</si>
  <si>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</si>
  <si>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</si>
  <si>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</si>
  <si>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</si>
  <si>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</si>
  <si>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</si>
  <si>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</si>
  <si>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</si>
  <si>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</si>
  <si>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</si>
  <si>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</si>
  <si>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</si>
  <si>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</si>
  <si>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</si>
  <si>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</si>
  <si>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</si>
  <si>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</si>
  <si>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</si>
  <si>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</si>
  <si>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</si>
  <si>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</si>
  <si>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</si>
  <si>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</si>
  <si>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</si>
  <si>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</si>
  <si>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</si>
  <si>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</si>
  <si>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</si>
  <si>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</si>
  <si>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</si>
  <si>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</si>
  <si>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</si>
  <si>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</si>
  <si>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</si>
  <si>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</si>
  <si>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</si>
  <si>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</si>
  <si>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</si>
  <si>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</si>
  <si>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</si>
  <si>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</si>
  <si>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</si>
  <si>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</si>
  <si>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</si>
  <si>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</si>
  <si>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</si>
  <si>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</si>
  <si>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</si>
  <si>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</si>
  <si>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</si>
  <si>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</si>
  <si>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</si>
  <si>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</si>
  <si>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</si>
  <si>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</si>
  <si>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</si>
  <si>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</si>
  <si>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</si>
  <si>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</si>
  <si>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</si>
  <si>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</si>
  <si>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</si>
  <si>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</si>
  <si>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</si>
  <si>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</si>
  <si>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</si>
  <si>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</si>
  <si>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</si>
  <si>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</si>
  <si>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</si>
  <si>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</si>
  <si>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</si>
  <si>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</si>
  <si>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</si>
  <si>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</si>
  <si>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</si>
  <si>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</si>
  <si>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</si>
  <si>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</si>
  <si>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</si>
  <si>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</si>
  <si>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</si>
  <si>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</si>
  <si>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</si>
  <si>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</si>
  <si>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</si>
  <si>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</si>
  <si>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</si>
  <si>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</si>
  <si>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</si>
  <si>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</si>
  <si>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</si>
  <si>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</si>
  <si>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</si>
  <si>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</si>
  <si>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</si>
  <si>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</si>
  <si>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</si>
  <si>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</si>
  <si>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</si>
  <si>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</si>
  <si>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</si>
  <si>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</si>
  <si>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</si>
  <si>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</si>
  <si>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</si>
  <si>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</si>
  <si>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</si>
  <si>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</si>
  <si>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</si>
  <si>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</si>
  <si>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</si>
  <si>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</si>
  <si>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</si>
  <si>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</si>
  <si>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</si>
  <si>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</si>
  <si>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</si>
  <si>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</si>
  <si>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</si>
  <si>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</si>
  <si>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</si>
  <si>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</si>
  <si>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</si>
  <si>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</si>
  <si>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</si>
  <si>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</si>
  <si>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</si>
  <si>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</si>
  <si>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</si>
  <si>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</si>
  <si>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</si>
  <si>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</si>
  <si>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</si>
  <si>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</si>
  <si>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</si>
  <si>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</si>
  <si>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</si>
  <si>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</si>
  <si>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</si>
  <si>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</si>
  <si>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</si>
  <si>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</si>
  <si>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</si>
  <si>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</si>
  <si>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</si>
  <si>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</si>
  <si>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</si>
  <si>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</si>
  <si>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</si>
  <si>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</si>
  <si>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</si>
  <si>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</si>
  <si>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</si>
  <si>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</si>
  <si>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</si>
  <si>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</si>
  <si>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</si>
  <si>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</si>
  <si>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</si>
  <si>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</si>
  <si>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</si>
  <si>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</si>
  <si>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</si>
  <si>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</si>
  <si>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</si>
  <si>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</si>
  <si>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</si>
  <si>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</si>
  <si>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</si>
  <si>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</si>
  <si>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</si>
  <si>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</si>
  <si>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</si>
  <si>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</si>
  <si>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</si>
  <si>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</si>
  <si>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</si>
  <si>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</si>
  <si>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</si>
  <si>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</si>
  <si>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</si>
  <si>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</si>
  <si>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</si>
  <si>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</si>
  <si>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</si>
  <si>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</si>
  <si>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</si>
  <si>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</si>
  <si>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</si>
  <si>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</si>
  <si>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</si>
  <si>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</si>
  <si>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</si>
  <si>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</si>
  <si>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</si>
  <si>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</si>
  <si>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</si>
  <si>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</si>
  <si>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</si>
  <si>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</si>
  <si>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</si>
  <si>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</si>
  <si>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</si>
  <si>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</si>
  <si>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</si>
  <si>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</si>
  <si>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</si>
  <si>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</si>
  <si>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</si>
  <si>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</si>
  <si>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</si>
  <si>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</si>
  <si>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</si>
  <si>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</si>
  <si>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</si>
  <si>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</si>
  <si>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</si>
  <si>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</si>
  <si>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</si>
  <si>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</si>
  <si>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</si>
  <si>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</si>
  <si>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</si>
  <si>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</si>
  <si>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</si>
  <si>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</si>
  <si>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</si>
  <si>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</si>
  <si>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</si>
  <si>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</si>
  <si>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</si>
  <si>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</si>
  <si>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</si>
  <si>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</si>
  <si>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</si>
  <si>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</si>
  <si>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</si>
  <si>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</si>
  <si>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</si>
  <si>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</si>
  <si>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</si>
  <si>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</si>
  <si>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</si>
  <si>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</si>
  <si>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</si>
  <si>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</si>
  <si>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</si>
  <si>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</si>
  <si>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</si>
  <si>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</si>
  <si>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</si>
  <si>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</si>
  <si>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</si>
  <si>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</si>
  <si>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</si>
  <si>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</si>
  <si>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</si>
  <si>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</si>
  <si>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</si>
  <si>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</si>
  <si>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</si>
  <si>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</si>
  <si>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</si>
  <si>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</si>
  <si>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</si>
  <si>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</si>
  <si>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</si>
  <si>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</si>
  <si>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</si>
  <si>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</si>
  <si>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</si>
  <si>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</si>
  <si>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</si>
  <si>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</si>
  <si>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</si>
  <si>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</si>
  <si>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</si>
  <si>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</si>
  <si>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</si>
  <si>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</si>
  <si>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</si>
  <si>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</si>
  <si>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</si>
  <si>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</si>
  <si>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</si>
  <si>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</si>
  <si>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</si>
  <si>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</si>
  <si>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</si>
  <si>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</si>
  <si>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</si>
  <si>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</si>
  <si>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</si>
  <si>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</si>
  <si>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</si>
  <si>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</si>
  <si>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</si>
  <si>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</si>
  <si>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</si>
  <si>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</si>
  <si>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</si>
  <si>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</si>
  <si>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</si>
  <si>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</si>
  <si>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</si>
  <si>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</si>
  <si>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</si>
  <si>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</si>
  <si>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</si>
  <si>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</si>
  <si>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</si>
  <si>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</si>
  <si>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</si>
  <si>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</si>
  <si>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</si>
  <si>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</si>
  <si>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</si>
  <si>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</si>
  <si>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</si>
  <si>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</si>
  <si>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</si>
  <si>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</si>
  <si>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</si>
  <si>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</si>
  <si>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</si>
  <si>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</si>
  <si>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</si>
  <si>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</si>
  <si>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</si>
  <si>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</si>
  <si>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</si>
  <si>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</si>
  <si>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</si>
  <si>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</si>
  <si>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</si>
  <si>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</si>
  <si>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</si>
  <si>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</si>
  <si>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</si>
  <si>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</si>
  <si>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</si>
  <si>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</si>
  <si>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</si>
  <si>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</si>
  <si>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</si>
  <si>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</si>
  <si>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</si>
  <si>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</si>
  <si>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</si>
  <si>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</si>
  <si>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</si>
  <si>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</si>
  <si>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</si>
  <si>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</si>
  <si>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</si>
  <si>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</si>
  <si>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</si>
  <si>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</si>
  <si>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</si>
  <si>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</si>
  <si>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</si>
  <si>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</si>
  <si>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</si>
  <si>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</si>
  <si>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</si>
  <si>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</si>
  <si>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</si>
  <si>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</si>
  <si>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</si>
  <si>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</si>
  <si>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</si>
  <si>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</si>
  <si>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</si>
  <si>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</si>
  <si>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</si>
  <si>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</si>
  <si>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</si>
  <si>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</si>
  <si>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</si>
  <si>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</si>
  <si>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</si>
  <si>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</si>
  <si>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</si>
  <si>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</si>
  <si>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</si>
  <si>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</si>
  <si>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</si>
  <si>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</si>
  <si>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</si>
  <si>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</si>
  <si>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</si>
  <si>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</si>
  <si>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</si>
  <si>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</si>
  <si>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</si>
  <si>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</si>
  <si>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</si>
  <si>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</si>
  <si>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</si>
  <si>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</si>
  <si>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</si>
  <si>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</si>
  <si>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</si>
  <si>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</si>
  <si>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</si>
  <si>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</si>
  <si>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</si>
  <si>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</si>
  <si>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</si>
  <si>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</si>
  <si>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</si>
  <si>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</si>
  <si>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</si>
  <si>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</si>
  <si>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</si>
  <si>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</si>
  <si>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</si>
  <si>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</si>
  <si>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</si>
  <si>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</si>
  <si>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</si>
  <si>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</si>
  <si>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</si>
  <si>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</si>
  <si>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</si>
  <si>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</si>
  <si>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</si>
  <si>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</si>
  <si>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</si>
  <si>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</si>
  <si>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</si>
  <si>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</si>
  <si>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</si>
  <si>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</si>
  <si>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</si>
  <si>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</si>
  <si>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</si>
  <si>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</si>
  <si>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</si>
  <si>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</si>
  <si>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</si>
  <si>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</si>
  <si>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</si>
  <si>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</si>
  <si>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</si>
  <si>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</si>
  <si>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</si>
  <si>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</si>
  <si>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</si>
  <si>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</si>
  <si>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</si>
  <si>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</si>
  <si>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</si>
  <si>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</si>
  <si>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</si>
  <si>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</si>
  <si>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</si>
  <si>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</si>
  <si>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</si>
  <si>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</si>
  <si>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</si>
  <si>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</si>
  <si>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</si>
  <si>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</si>
  <si>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</si>
  <si>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</si>
  <si>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</si>
  <si>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</si>
  <si>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</si>
  <si>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</si>
  <si>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</si>
  <si>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</si>
  <si>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</si>
  <si>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</si>
  <si>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</si>
  <si>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</si>
  <si>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</si>
  <si>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</si>
  <si>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</si>
  <si>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</si>
  <si>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</si>
  <si>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</si>
  <si>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</si>
  <si>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</si>
  <si>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</si>
  <si>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</si>
  <si>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</si>
  <si>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</si>
  <si>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</si>
  <si>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</si>
  <si>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</si>
  <si>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</si>
  <si>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</si>
  <si>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</si>
  <si>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</si>
  <si>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</si>
  <si>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</si>
  <si>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</si>
  <si>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</si>
  <si>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</si>
  <si>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</si>
  <si>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</si>
  <si>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</si>
  <si>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</si>
  <si>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</si>
  <si>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</si>
  <si>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</si>
  <si>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</si>
  <si>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</si>
  <si>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</si>
  <si>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</si>
  <si>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</si>
  <si>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</si>
  <si>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</si>
  <si>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</si>
  <si>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</si>
  <si>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</si>
  <si>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</si>
  <si>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</si>
  <si>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</si>
  <si>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</si>
  <si>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</si>
  <si>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</si>
  <si>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</si>
  <si>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</si>
  <si>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</si>
  <si>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</si>
  <si>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</si>
  <si>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</si>
  <si>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</si>
  <si>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</si>
  <si>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</si>
  <si>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</si>
  <si>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</si>
  <si>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</si>
  <si>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</si>
  <si>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</si>
  <si>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</si>
  <si>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</si>
  <si>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</si>
  <si>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</si>
  <si>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</si>
  <si>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</si>
  <si>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</si>
  <si>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</si>
  <si>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</si>
  <si>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</si>
  <si>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</si>
  <si>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</si>
  <si>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</si>
  <si>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</si>
  <si>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</si>
  <si>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</si>
  <si>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</si>
  <si>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</si>
  <si>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</si>
  <si>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</si>
  <si>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</si>
  <si>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</si>
  <si>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</si>
  <si>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</si>
  <si>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</si>
  <si>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</si>
  <si>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</si>
  <si>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</si>
  <si>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</si>
  <si>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</si>
  <si>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</si>
  <si>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</si>
  <si>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</si>
  <si>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</si>
  <si>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</si>
  <si>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</si>
  <si>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</si>
  <si>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</si>
  <si>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</si>
  <si>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</si>
  <si>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</si>
  <si>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</si>
  <si>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</si>
  <si>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</si>
  <si>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</si>
  <si>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</si>
  <si>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</si>
  <si>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</si>
  <si>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</si>
  <si>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</si>
  <si>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</si>
  <si>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</si>
  <si>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</si>
  <si>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</si>
  <si>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</si>
  <si>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</si>
  <si>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</si>
  <si>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</si>
  <si>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</si>
  <si>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</si>
  <si>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</si>
  <si>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</si>
  <si>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</si>
  <si>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</si>
  <si>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</si>
  <si>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</si>
  <si>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</si>
  <si>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</si>
  <si>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</si>
  <si>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</si>
  <si>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</si>
  <si>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</si>
  <si>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</si>
  <si>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</si>
  <si>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</si>
  <si>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</si>
  <si>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</si>
  <si>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</si>
  <si>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</si>
  <si>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</si>
  <si>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</si>
  <si>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</si>
  <si>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</si>
  <si>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</si>
  <si>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</si>
  <si>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</si>
  <si>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</si>
  <si>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</si>
  <si>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</si>
  <si>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</si>
  <si>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</si>
  <si>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</si>
  <si>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</si>
  <si>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</si>
  <si>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</si>
  <si>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</si>
  <si>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</si>
  <si>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</si>
  <si>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</si>
  <si>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</si>
  <si>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</si>
  <si>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</si>
  <si>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</si>
  <si>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</si>
  <si>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</si>
  <si>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</si>
  <si>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</si>
  <si>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</si>
  <si>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</si>
  <si>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</si>
  <si>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</si>
  <si>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</si>
  <si>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</si>
  <si>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</si>
  <si>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</si>
  <si>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</si>
  <si>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</si>
  <si>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</si>
  <si>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</si>
  <si>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</si>
  <si>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</si>
  <si>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</si>
  <si>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</si>
  <si>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</si>
  <si>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</si>
  <si>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</si>
  <si>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</si>
  <si>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</si>
  <si>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</si>
  <si>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</si>
  <si>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</si>
  <si>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</si>
  <si>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</si>
  <si>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</si>
  <si>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</si>
  <si>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</si>
  <si>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</si>
  <si>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</si>
  <si>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</si>
  <si>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</si>
  <si>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</si>
  <si>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</si>
  <si>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</si>
  <si>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</si>
  <si>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</si>
  <si>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</si>
  <si>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</si>
  <si>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</si>
  <si>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</si>
  <si>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</si>
  <si>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</si>
  <si>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</si>
  <si>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</si>
  <si>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</si>
  <si>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</si>
  <si>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</si>
  <si>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</si>
  <si>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</si>
  <si>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</si>
  <si>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</si>
  <si>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</si>
  <si>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</si>
  <si>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</si>
  <si>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</si>
  <si>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</si>
  <si>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</si>
  <si>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</si>
  <si>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</si>
  <si>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</si>
  <si>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</si>
  <si>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</si>
  <si>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</si>
  <si>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</si>
  <si>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</si>
  <si>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</si>
  <si>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</si>
  <si>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</si>
  <si>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</si>
  <si>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</si>
  <si>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</si>
  <si>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</si>
  <si>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</si>
  <si>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</si>
  <si>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</si>
  <si>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</si>
  <si>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</si>
  <si>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</si>
  <si>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</si>
  <si>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</si>
  <si>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</si>
  <si>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</si>
  <si>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</si>
  <si>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</si>
  <si>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</si>
  <si>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</si>
  <si>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</si>
  <si>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</si>
  <si>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</si>
  <si>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</si>
  <si>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</si>
  <si>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</si>
  <si>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</si>
  <si>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</si>
  <si>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</si>
  <si>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</si>
  <si>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</si>
  <si>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</si>
  <si>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</si>
  <si>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</si>
  <si>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</si>
  <si>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</si>
  <si>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</si>
  <si>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</si>
  <si>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</si>
  <si>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</si>
  <si>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</si>
  <si>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</si>
  <si>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</si>
  <si>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</si>
  <si>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</si>
  <si>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</si>
  <si>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</si>
  <si>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</si>
  <si>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</si>
  <si>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</si>
  <si>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</si>
  <si>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</si>
  <si>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</si>
  <si>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</si>
  <si>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</si>
  <si>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</si>
  <si>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</si>
  <si>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</si>
  <si>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</si>
  <si>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</si>
  <si>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</si>
  <si>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</si>
  <si>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</si>
  <si>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</si>
  <si>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</si>
  <si>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</si>
  <si>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</si>
  <si>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</si>
  <si>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</si>
  <si>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</si>
  <si>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</si>
  <si>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</si>
  <si>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</si>
  <si>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</si>
  <si>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</si>
  <si>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</si>
  <si>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</si>
  <si>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</si>
  <si>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</si>
  <si>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</si>
  <si>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</si>
  <si>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</si>
  <si>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</si>
  <si>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</si>
  <si>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</si>
  <si>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</si>
  <si>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</si>
  <si>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</si>
  <si>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</si>
  <si>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</si>
  <si>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</si>
  <si>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</si>
  <si>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</si>
  <si>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</si>
  <si>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</si>
  <si>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</si>
  <si>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</si>
  <si>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</si>
  <si>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</si>
  <si>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</si>
  <si>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</si>
  <si>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</si>
  <si>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</si>
  <si>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</si>
  <si>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</si>
  <si>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</si>
  <si>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</si>
  <si>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</si>
  <si>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</si>
  <si>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</si>
  <si>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</si>
  <si>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</si>
  <si>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</si>
  <si>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</si>
  <si>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</si>
  <si>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</si>
  <si>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</si>
  <si>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</si>
  <si>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</si>
  <si>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</si>
  <si>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</si>
  <si>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</si>
  <si>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</si>
  <si>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</si>
  <si>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</si>
  <si>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</si>
  <si>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</si>
  <si>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</si>
  <si>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</si>
  <si>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</si>
  <si>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</si>
  <si>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</si>
  <si>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</si>
  <si>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</si>
  <si>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</si>
  <si>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</si>
  <si>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</si>
  <si>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</si>
  <si>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</si>
  <si>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</si>
  <si>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</si>
  <si>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</si>
  <si>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</si>
  <si>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</si>
  <si>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</si>
  <si>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</si>
  <si>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</si>
  <si>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</si>
  <si>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</si>
  <si>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</si>
  <si>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</si>
  <si>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</si>
  <si>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</si>
  <si>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</si>
  <si>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</si>
  <si>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</si>
  <si>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</si>
  <si>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</si>
  <si>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</si>
  <si>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</si>
  <si>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</si>
  <si>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</si>
  <si>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</si>
  <si>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</si>
  <si>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</si>
  <si>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</si>
  <si>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</si>
  <si>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</si>
  <si>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</si>
  <si>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</si>
  <si>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</si>
  <si>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</si>
  <si>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</si>
  <si>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</si>
  <si>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</si>
  <si>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</si>
  <si>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</si>
  <si>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</si>
  <si>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</si>
  <si>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</si>
  <si>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</si>
  <si>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</si>
  <si>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</si>
  <si>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</si>
  <si>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</si>
  <si>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</si>
  <si>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</si>
  <si>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</si>
  <si>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</si>
  <si>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</si>
  <si>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</si>
  <si>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</si>
  <si>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</si>
  <si>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</si>
  <si>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</si>
  <si>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</si>
  <si>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</si>
  <si>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</si>
  <si>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</si>
  <si>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</si>
  <si>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</si>
  <si>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</si>
  <si>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</si>
  <si>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</si>
  <si>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</si>
  <si>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</si>
  <si>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</si>
  <si>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</si>
  <si>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</si>
  <si>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</si>
  <si>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</si>
  <si>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</si>
  <si>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</si>
  <si>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</si>
  <si>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</si>
  <si>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</si>
  <si>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</si>
  <si>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</si>
  <si>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</si>
  <si>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</si>
  <si>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</si>
  <si>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</si>
  <si>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</si>
  <si>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</si>
  <si>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</si>
  <si>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</si>
  <si>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</si>
  <si>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</si>
  <si>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</si>
  <si>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</si>
  <si>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</si>
  <si>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</si>
  <si>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</si>
  <si>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</si>
  <si>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</si>
  <si>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</si>
  <si>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</si>
  <si>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</si>
  <si>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</si>
  <si>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</si>
  <si>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</si>
  <si>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</si>
  <si>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</si>
  <si>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</si>
  <si>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</si>
  <si>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</si>
  <si>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</si>
  <si>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</si>
  <si>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</si>
  <si>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</si>
  <si>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</si>
  <si>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</si>
  <si>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</si>
  <si>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</si>
  <si>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</si>
  <si>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</si>
  <si>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</si>
  <si>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</si>
  <si>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</si>
  <si>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</si>
  <si>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</si>
  <si>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</si>
  <si>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</si>
  <si>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</si>
  <si>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</si>
  <si>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</si>
  <si>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</si>
  <si>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</si>
  <si>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</si>
  <si>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</si>
  <si>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</si>
  <si>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</si>
  <si>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</si>
  <si>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</si>
  <si>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</si>
  <si>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</si>
  <si>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</si>
  <si>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</si>
  <si>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</si>
  <si>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</si>
  <si>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</si>
  <si>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</si>
  <si>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</si>
  <si>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</si>
  <si>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</si>
  <si>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</si>
  <si>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</si>
  <si>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</si>
  <si>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</si>
  <si>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</si>
  <si>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</si>
  <si>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</si>
  <si>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</si>
  <si>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</si>
  <si>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</si>
  <si>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</si>
  <si>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</si>
  <si>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</si>
  <si>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</si>
  <si>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</si>
  <si>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</si>
  <si>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</si>
  <si>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</si>
  <si>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</si>
  <si>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</si>
  <si>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</si>
  <si>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</si>
  <si>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</si>
  <si>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</si>
  <si>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</si>
  <si>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</si>
  <si>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</si>
  <si>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</si>
  <si>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</si>
  <si>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</si>
  <si>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</si>
  <si>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</si>
  <si>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</si>
  <si>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</si>
  <si>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</si>
  <si>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</si>
  <si>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</si>
  <si>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</si>
  <si>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</si>
  <si>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</si>
  <si>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</si>
  <si>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</si>
  <si>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</si>
  <si>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</si>
  <si>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</si>
  <si>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</si>
  <si>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</si>
  <si>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</si>
  <si>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</si>
  <si>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</si>
  <si>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</si>
  <si>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</si>
  <si>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</si>
  <si>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</si>
  <si>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</si>
  <si>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</si>
  <si>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</si>
  <si>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</si>
  <si>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</si>
  <si>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</si>
  <si>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</si>
  <si>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</si>
  <si>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</si>
  <si>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</si>
  <si>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</si>
  <si>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</si>
  <si>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</si>
  <si>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</si>
  <si>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</si>
  <si>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</si>
  <si>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</si>
  <si>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</si>
  <si>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</si>
  <si>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</si>
  <si>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</si>
  <si>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</si>
  <si>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</si>
  <si>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</si>
  <si>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</si>
  <si>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</si>
  <si>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</si>
  <si>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</si>
  <si>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</si>
  <si>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</si>
  <si>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</si>
  <si>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</si>
  <si>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</si>
  <si>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</si>
  <si>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</si>
  <si>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</si>
  <si>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</si>
  <si>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</si>
  <si>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</si>
  <si>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</si>
  <si>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</si>
  <si>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</si>
  <si>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</si>
  <si>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</si>
  <si>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</si>
  <si>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</si>
  <si>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</si>
  <si>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</si>
  <si>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</si>
  <si>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</si>
  <si>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</si>
  <si>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</si>
  <si>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</si>
  <si>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</si>
  <si>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</si>
  <si>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</si>
  <si>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</si>
  <si>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</si>
  <si>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</si>
  <si>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</si>
  <si>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</si>
  <si>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</si>
  <si>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</si>
  <si>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</si>
  <si>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</si>
  <si>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</si>
  <si>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</si>
  <si>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</si>
  <si>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</si>
  <si>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</si>
  <si>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</si>
  <si>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</si>
  <si>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</si>
  <si>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</si>
  <si>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</si>
  <si>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</si>
  <si>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</si>
  <si>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</si>
  <si>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</si>
  <si>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</si>
  <si>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</si>
  <si>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</si>
  <si>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</si>
  <si>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</si>
  <si>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</si>
  <si>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</si>
  <si>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</si>
  <si>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</si>
  <si>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</si>
  <si>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</si>
  <si>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</si>
  <si>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</si>
  <si>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</si>
  <si>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</si>
  <si>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</si>
  <si>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</si>
  <si>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</si>
  <si>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</si>
  <si>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</si>
  <si>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</si>
  <si>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</si>
  <si>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</si>
  <si>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</si>
  <si>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</si>
  <si>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</si>
  <si>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</si>
  <si>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</si>
  <si>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</si>
  <si>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</si>
  <si>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</si>
  <si>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</si>
  <si>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</si>
  <si>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</si>
  <si>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</si>
  <si>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</si>
  <si>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</si>
  <si>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</si>
  <si>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</si>
  <si>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</si>
  <si>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</si>
  <si>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</si>
  <si>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</si>
  <si>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</si>
  <si>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</si>
  <si>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</si>
  <si>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</si>
  <si>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</si>
  <si>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</si>
  <si>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</si>
  <si>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</si>
  <si>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</si>
  <si>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</si>
  <si>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</si>
  <si>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</si>
  <si>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</si>
  <si>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</si>
  <si>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</si>
  <si>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</si>
  <si>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</si>
  <si>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</si>
  <si>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</si>
  <si>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</si>
  <si>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</si>
  <si>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</si>
  <si>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</si>
  <si>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</si>
  <si>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</si>
  <si>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</si>
  <si>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</si>
  <si>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</si>
  <si>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</si>
  <si>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</si>
  <si>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</si>
  <si>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</si>
  <si>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</si>
  <si>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</si>
  <si>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</si>
  <si>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</si>
  <si>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</si>
  <si>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</si>
  <si>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</si>
  <si>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</si>
  <si>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</si>
  <si>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</si>
  <si>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</si>
  <si>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</si>
  <si>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</si>
  <si>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</si>
  <si>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</si>
  <si>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</si>
  <si>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</si>
  <si>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</si>
  <si>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</si>
  <si>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</si>
  <si>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</si>
  <si>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</si>
  <si>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</si>
  <si>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</si>
  <si>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</si>
  <si>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</si>
  <si>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</si>
  <si>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</si>
  <si>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</si>
  <si>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</si>
  <si>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</si>
  <si>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</si>
  <si>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</si>
  <si>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</si>
  <si>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</si>
  <si>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</si>
  <si>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</si>
  <si>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</si>
  <si>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</si>
  <si>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</si>
  <si>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</si>
  <si>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</si>
  <si>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</si>
  <si>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</si>
  <si>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</si>
  <si>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</si>
  <si>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</si>
  <si>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</si>
  <si>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</si>
  <si>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</si>
  <si>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</si>
  <si>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</si>
  <si>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</si>
  <si>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</si>
  <si>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</si>
  <si>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</si>
  <si>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</si>
  <si>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</si>
  <si>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</si>
  <si>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</si>
  <si>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</si>
  <si>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</si>
  <si>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</si>
  <si>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</si>
  <si>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</si>
  <si>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</si>
  <si>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</si>
  <si>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</si>
  <si>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</si>
  <si>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</si>
  <si>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</si>
  <si>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</si>
  <si>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</si>
  <si>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</si>
  <si>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</si>
  <si>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</si>
  <si>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</si>
  <si>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</si>
  <si>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</si>
  <si>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</si>
  <si>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</si>
  <si>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</si>
  <si>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</si>
  <si>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</si>
  <si>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</si>
  <si>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</si>
  <si>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</si>
  <si>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</si>
  <si>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</si>
  <si>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</si>
  <si>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</si>
  <si>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</si>
  <si>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</si>
  <si>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</si>
  <si>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</si>
  <si>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</si>
  <si>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</si>
  <si>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</si>
  <si>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</si>
  <si>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</si>
  <si>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</si>
  <si>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</si>
  <si>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</si>
  <si>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</si>
  <si>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</si>
  <si>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</si>
  <si>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</si>
  <si>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</si>
  <si>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</si>
  <si>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</si>
  <si>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</si>
  <si>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</si>
  <si>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</si>
  <si>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</si>
  <si>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</si>
  <si>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</si>
  <si>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</si>
  <si>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</si>
  <si>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</si>
  <si>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</si>
  <si>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</si>
  <si>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</si>
  <si>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</si>
  <si>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</si>
  <si>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</si>
  <si>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</si>
  <si>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</si>
  <si>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</si>
  <si>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</si>
  <si>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</si>
  <si>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</si>
  <si>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</si>
  <si>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</si>
  <si>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</si>
  <si>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</si>
  <si>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</si>
  <si>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</si>
  <si>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</si>
  <si>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</si>
  <si>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</si>
  <si>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</si>
  <si>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</si>
  <si>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</si>
  <si>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</si>
  <si>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</si>
  <si>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</si>
  <si>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</si>
  <si>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</si>
  <si>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</si>
  <si>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</si>
  <si>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</si>
  <si>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</si>
  <si>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</si>
  <si>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</si>
  <si>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</si>
  <si>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</si>
  <si>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</si>
  <si>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</si>
  <si>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</si>
  <si>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</si>
  <si>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</si>
  <si>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</si>
  <si>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</si>
  <si>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</si>
  <si>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</si>
  <si>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</si>
  <si>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</si>
  <si>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</si>
  <si>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</si>
  <si>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</si>
  <si>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</si>
  <si>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</si>
  <si>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</si>
  <si>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</si>
  <si>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</si>
  <si>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</si>
  <si>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</si>
  <si>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</si>
  <si>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</si>
  <si>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</si>
  <si>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</si>
  <si>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</si>
  <si>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</si>
  <si>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</si>
  <si>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</si>
  <si>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</si>
  <si>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</si>
  <si>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</si>
  <si>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</si>
  <si>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</si>
  <si>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</si>
  <si>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</si>
  <si>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</si>
  <si>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</si>
  <si>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</si>
  <si>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</si>
  <si>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</si>
  <si>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</si>
  <si>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</si>
  <si>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</si>
  <si>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</si>
  <si>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</si>
  <si>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</si>
  <si>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</si>
  <si>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</si>
  <si>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</si>
  <si>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</si>
  <si>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</si>
  <si>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</si>
  <si>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</si>
  <si>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</si>
  <si>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</si>
  <si>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</si>
  <si>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</si>
  <si>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</si>
  <si>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</si>
  <si>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</si>
  <si>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</si>
  <si>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</si>
  <si>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</si>
  <si>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</si>
  <si>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</si>
  <si>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</si>
  <si>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</si>
  <si>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</si>
  <si>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</si>
  <si>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</si>
  <si>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</si>
  <si>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</si>
  <si>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</si>
  <si>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</si>
  <si>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</si>
  <si>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</si>
  <si>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</si>
  <si>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</si>
  <si>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</si>
  <si>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</si>
  <si>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</si>
  <si>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</si>
  <si>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</si>
  <si>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</si>
  <si>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</si>
  <si>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</si>
  <si>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</si>
  <si>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</si>
  <si>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</si>
  <si>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</si>
  <si>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</si>
  <si>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</si>
  <si>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</si>
  <si>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</si>
  <si>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</si>
  <si>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</si>
  <si>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</si>
  <si>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</si>
  <si>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</si>
  <si>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</si>
  <si>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</si>
  <si>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</si>
  <si>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</si>
  <si>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</si>
  <si>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</si>
  <si>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</si>
  <si>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</si>
  <si>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</si>
  <si>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</si>
  <si>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</si>
  <si>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</si>
  <si>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</si>
  <si>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</si>
  <si>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</si>
  <si>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</si>
  <si>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</si>
  <si>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</si>
  <si>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</si>
  <si>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</si>
  <si>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</si>
  <si>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</si>
  <si>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</si>
  <si>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</si>
  <si>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</si>
  <si>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</si>
  <si>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</si>
  <si>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</si>
  <si>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</si>
  <si>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</si>
  <si>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</si>
  <si>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</si>
  <si>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</si>
  <si>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</si>
  <si>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</si>
  <si>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</si>
  <si>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</si>
  <si>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</si>
  <si>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</si>
  <si>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</si>
  <si>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</si>
  <si>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</si>
  <si>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</si>
  <si>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</si>
  <si>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</si>
  <si>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</si>
  <si>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</si>
  <si>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</si>
  <si>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</si>
  <si>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</si>
  <si>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</si>
  <si>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</si>
  <si>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</si>
  <si>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</si>
  <si>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</si>
  <si>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</si>
  <si>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</si>
  <si>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</si>
  <si>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</si>
  <si>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</si>
  <si>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</si>
  <si>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</si>
  <si>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</si>
  <si>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</si>
  <si>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</si>
  <si>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</si>
  <si>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</si>
  <si>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</si>
  <si>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</si>
  <si>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</si>
  <si>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</si>
  <si>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</si>
  <si>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</si>
  <si>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</si>
  <si>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</si>
  <si>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</si>
  <si>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</si>
  <si>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</si>
  <si>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</si>
  <si>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</si>
  <si>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</si>
  <si>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</si>
  <si>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</si>
  <si>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</si>
  <si>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</si>
  <si>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</si>
  <si>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</si>
  <si>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</si>
  <si>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</si>
  <si>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</si>
  <si>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</si>
  <si>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</si>
  <si>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</si>
  <si>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</si>
  <si>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</si>
  <si>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</si>
  <si>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</si>
  <si>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</si>
  <si>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</si>
  <si>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</si>
  <si>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</si>
  <si>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</si>
  <si>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</si>
  <si>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</si>
  <si>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</si>
  <si>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</si>
  <si>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</si>
  <si>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</si>
  <si>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</si>
  <si>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</si>
  <si>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</si>
  <si>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</si>
  <si>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</si>
  <si>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</si>
  <si>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</si>
  <si>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</si>
  <si>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</si>
  <si>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</si>
  <si>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</si>
  <si>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</si>
  <si>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</si>
  <si>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</si>
  <si>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</si>
  <si>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</si>
  <si>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</si>
  <si>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</si>
  <si>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</si>
  <si>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</si>
  <si>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</si>
  <si>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</si>
  <si>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</si>
  <si>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</si>
  <si>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</si>
  <si>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</si>
  <si>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</si>
  <si>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</si>
  <si>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</si>
  <si>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</si>
  <si>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</si>
  <si>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</si>
  <si>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</si>
  <si>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</si>
  <si>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</si>
  <si>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</si>
  <si>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</si>
  <si>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</si>
  <si>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</si>
  <si>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</si>
  <si>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</si>
  <si>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</si>
  <si>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</si>
  <si>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</si>
  <si>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</si>
  <si>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</si>
  <si>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</si>
  <si>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</si>
  <si>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</si>
  <si>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</si>
  <si>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</si>
  <si>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</si>
  <si>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</si>
  <si>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</si>
  <si>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</si>
  <si>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</si>
  <si>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</si>
  <si>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</si>
  <si>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</si>
  <si>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</si>
  <si>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</si>
  <si>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</si>
  <si>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</si>
  <si>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</si>
  <si>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</si>
  <si>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</si>
  <si>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</si>
  <si>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</si>
  <si>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</si>
  <si>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</si>
  <si>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</si>
  <si>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</si>
  <si>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</si>
  <si>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</si>
  <si>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</si>
  <si>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</si>
  <si>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</si>
  <si>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</si>
  <si>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</si>
  <si>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</si>
  <si>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</si>
  <si>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</si>
  <si>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</si>
  <si>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</si>
  <si>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</si>
  <si>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</si>
  <si>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</si>
  <si>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</si>
  <si>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</si>
  <si>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</si>
  <si>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</si>
  <si>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</si>
  <si>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</si>
  <si>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</si>
  <si>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</si>
  <si>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</si>
  <si>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</si>
  <si>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</si>
  <si>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</si>
  <si>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</si>
  <si>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</si>
  <si>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</si>
  <si>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</si>
  <si>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</si>
  <si>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</si>
  <si>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</si>
  <si>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</si>
  <si>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</si>
  <si>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</si>
  <si>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</si>
  <si>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</si>
  <si>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</si>
  <si>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</si>
  <si>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</si>
  <si>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</si>
  <si>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</si>
  <si>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</si>
  <si>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</si>
  <si>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</si>
  <si>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</si>
  <si>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</si>
  <si>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</si>
  <si>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</si>
  <si>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</si>
  <si>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</si>
  <si>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</si>
  <si>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</si>
  <si>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</si>
  <si>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</si>
  <si>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</si>
  <si>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</si>
  <si>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</si>
  <si>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</si>
  <si>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</si>
  <si>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</si>
  <si>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</si>
  <si>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</si>
  <si>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</si>
  <si>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</si>
  <si>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</si>
  <si>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</si>
  <si>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</si>
  <si>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</si>
  <si>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</si>
  <si>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</si>
  <si>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</si>
  <si>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</si>
  <si>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</si>
  <si>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</si>
  <si>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</si>
  <si>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</si>
  <si>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</si>
  <si>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</si>
  <si>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</si>
  <si>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</si>
  <si>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</si>
  <si>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</si>
  <si>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</si>
  <si>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</si>
  <si>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</si>
  <si>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</si>
  <si>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</si>
  <si>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</si>
  <si>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</si>
  <si>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</si>
  <si>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</si>
  <si>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</si>
  <si>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</si>
  <si>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</si>
  <si>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</si>
  <si>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</si>
  <si>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</si>
  <si>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</si>
  <si>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</si>
  <si>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</si>
  <si>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</si>
  <si>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</si>
  <si>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</si>
  <si>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</si>
  <si>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</si>
  <si>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</si>
  <si>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</si>
  <si>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</si>
  <si>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</si>
  <si>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</si>
  <si>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</si>
  <si>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</si>
  <si>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</si>
  <si>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</si>
  <si>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</si>
  <si>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</si>
  <si>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</si>
  <si>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</si>
  <si>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</si>
  <si>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</si>
  <si>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</si>
  <si>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</si>
  <si>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</si>
  <si>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</si>
  <si>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</si>
  <si>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</si>
  <si>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</si>
  <si>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</si>
  <si>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</si>
  <si>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</si>
  <si>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</si>
  <si>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</si>
  <si>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</si>
  <si>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</si>
  <si>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</si>
  <si>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</si>
  <si>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</si>
  <si>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</si>
  <si>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</si>
  <si>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</si>
  <si>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</si>
  <si>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</si>
  <si>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</si>
  <si>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</si>
  <si>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</si>
  <si>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</si>
  <si>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</si>
  <si>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</si>
  <si>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</si>
  <si>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</si>
  <si>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</si>
  <si>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</si>
  <si>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</si>
  <si>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</si>
  <si>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</si>
  <si>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</si>
  <si>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</si>
  <si>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</si>
  <si>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</si>
  <si>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</si>
  <si>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</si>
  <si>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</si>
  <si>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</si>
  <si>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</si>
  <si>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</si>
  <si>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</si>
  <si>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</si>
  <si>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</si>
  <si>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</si>
  <si>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</si>
  <si>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</si>
  <si>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</si>
  <si>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</si>
  <si>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</si>
  <si>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</si>
  <si>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</si>
  <si>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</si>
  <si>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</si>
  <si>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</si>
  <si>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</si>
  <si>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</si>
  <si>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</si>
  <si>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</si>
  <si>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</si>
  <si>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</si>
  <si>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</si>
  <si>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</si>
  <si>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</si>
  <si>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</si>
  <si>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</si>
  <si>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</si>
  <si>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</si>
  <si>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</si>
  <si>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</si>
  <si>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</si>
  <si>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</si>
  <si>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</si>
  <si>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</si>
  <si>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</si>
  <si>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</si>
  <si>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</si>
  <si>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</si>
  <si>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</si>
  <si>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</si>
  <si>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</si>
  <si>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</si>
  <si>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</si>
  <si>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</si>
  <si>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</si>
  <si>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</si>
  <si>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</si>
  <si>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</si>
  <si>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</si>
  <si>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</si>
  <si>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</si>
  <si>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</si>
  <si>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</si>
  <si>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</si>
  <si>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</si>
  <si>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</si>
  <si>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</si>
  <si>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</si>
  <si>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</si>
  <si>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</si>
  <si>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</si>
  <si>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</si>
  <si>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</si>
  <si>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</si>
  <si>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</si>
  <si>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</si>
  <si>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</si>
  <si>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</si>
  <si>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</si>
  <si>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</si>
  <si>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</si>
  <si>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</si>
  <si>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</si>
  <si>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</si>
  <si>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</si>
  <si>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</si>
  <si>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</si>
  <si>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</si>
  <si>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</si>
  <si>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</si>
  <si>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</si>
  <si>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</si>
  <si>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</si>
  <si>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</si>
  <si>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</si>
  <si>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</si>
  <si>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</si>
  <si>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</si>
  <si>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</si>
  <si>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</si>
  <si>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</si>
  <si>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</si>
  <si>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</si>
  <si>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</si>
  <si>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</si>
  <si>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</si>
  <si>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</si>
  <si>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</si>
  <si>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</si>
  <si>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</si>
  <si>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</si>
  <si>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</si>
  <si>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</si>
  <si>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</si>
  <si>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</si>
  <si>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</si>
  <si>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</si>
  <si>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</si>
  <si>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</si>
  <si>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</si>
  <si>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</si>
  <si>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</si>
  <si>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</si>
  <si>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</si>
  <si>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</si>
  <si>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</si>
  <si>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</si>
  <si>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</si>
  <si>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</si>
  <si>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</si>
  <si>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</si>
  <si>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</si>
  <si>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</si>
  <si>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</si>
  <si>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</si>
  <si>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</si>
  <si>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</si>
  <si>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</si>
  <si>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</si>
  <si>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</si>
  <si>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</si>
  <si>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</si>
  <si>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</si>
  <si>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</si>
  <si>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</si>
  <si>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</si>
  <si>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</si>
  <si>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</si>
  <si>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</si>
  <si>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</si>
  <si>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</si>
  <si>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</si>
  <si>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</si>
  <si>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</si>
  <si>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</si>
  <si>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</si>
  <si>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</si>
  <si>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</si>
  <si>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</si>
  <si>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</si>
  <si>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</si>
  <si>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</si>
  <si>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</si>
  <si>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</si>
  <si>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</si>
  <si>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</si>
  <si>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</si>
  <si>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</si>
  <si>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</si>
  <si>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</si>
  <si>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</si>
  <si>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</si>
  <si>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</si>
  <si>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</si>
  <si>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</si>
  <si>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</si>
  <si>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</si>
  <si>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</si>
  <si>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</si>
  <si>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</si>
  <si>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</si>
  <si>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</si>
  <si>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</si>
  <si>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</si>
  <si>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</si>
  <si>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</si>
  <si>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</si>
  <si>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</si>
  <si>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</si>
  <si>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</si>
  <si>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</si>
  <si>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</si>
  <si>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</si>
  <si>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</si>
  <si>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</si>
  <si>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</si>
  <si>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</si>
  <si>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</si>
  <si>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</si>
  <si>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</si>
  <si>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</si>
  <si>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</si>
  <si>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</si>
  <si>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</si>
  <si>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</si>
  <si>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</si>
  <si>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</si>
  <si>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</si>
  <si>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</si>
  <si>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</si>
  <si>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</si>
  <si>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</si>
  <si>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</si>
  <si>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</si>
  <si>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</si>
  <si>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</si>
  <si>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</si>
  <si>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</si>
  <si>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</si>
  <si>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</si>
  <si>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</si>
  <si>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</si>
  <si>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</si>
  <si>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</si>
  <si>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</si>
  <si>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</si>
  <si>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</si>
  <si>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</si>
  <si>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</si>
  <si>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</si>
  <si>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</si>
  <si>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</si>
  <si>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</si>
  <si>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</si>
  <si>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</si>
  <si>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</si>
  <si>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</si>
  <si>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</si>
  <si>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</si>
  <si>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</si>
  <si>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</si>
  <si>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</si>
  <si>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</si>
  <si>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</si>
  <si>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</si>
  <si>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</si>
  <si>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</si>
  <si>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</si>
  <si>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</si>
  <si>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</si>
  <si>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</si>
  <si>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</si>
  <si>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</si>
  <si>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</si>
  <si>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</si>
  <si>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</si>
  <si>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</si>
  <si>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</si>
  <si>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</si>
  <si>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</si>
  <si>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</si>
  <si>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</si>
  <si>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</si>
  <si>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</si>
  <si>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</si>
  <si>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</si>
  <si>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</si>
  <si>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</si>
  <si>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</si>
  <si>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</si>
  <si>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</si>
  <si>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</si>
  <si>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</si>
  <si>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</si>
  <si>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</si>
  <si>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</si>
  <si>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</si>
  <si>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</si>
  <si>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</si>
  <si>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</si>
  <si>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</si>
  <si>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</si>
  <si>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</si>
  <si>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</si>
  <si>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</si>
  <si>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</si>
  <si>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</si>
  <si>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</si>
  <si>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</si>
  <si>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</si>
  <si>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</si>
  <si>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</si>
  <si>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</si>
  <si>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</si>
  <si>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</si>
  <si>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</si>
  <si>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</si>
  <si>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</si>
  <si>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</si>
  <si>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</si>
  <si>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</si>
  <si>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</si>
  <si>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</si>
  <si>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</si>
  <si>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</si>
  <si>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</si>
  <si>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</si>
  <si>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</si>
  <si>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</si>
  <si>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</si>
  <si>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</si>
  <si>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</si>
  <si>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</si>
  <si>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</si>
  <si>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</si>
  <si>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</si>
  <si>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</si>
  <si>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</si>
  <si>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</si>
  <si>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</si>
  <si>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</si>
  <si>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</si>
  <si>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</si>
  <si>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</si>
  <si>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</si>
  <si>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</si>
  <si>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</si>
  <si>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</si>
  <si>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</si>
  <si>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</si>
  <si>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</si>
  <si>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</si>
  <si>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</si>
  <si>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</si>
  <si>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</si>
  <si>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</si>
  <si>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</si>
  <si>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</si>
  <si>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</si>
  <si>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</si>
  <si>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</si>
  <si>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</si>
  <si>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</si>
  <si>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</si>
  <si>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</si>
  <si>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</si>
  <si>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</si>
  <si>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</si>
  <si>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</si>
  <si>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</si>
  <si>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</si>
  <si>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</si>
  <si>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</si>
  <si>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</si>
  <si>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</si>
  <si>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</si>
  <si>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</si>
  <si>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</si>
  <si>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</si>
  <si>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</si>
  <si>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</si>
  <si>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</si>
  <si>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</si>
  <si>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</si>
  <si>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</si>
  <si>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</si>
  <si>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</si>
  <si>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</si>
  <si>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</si>
  <si>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</si>
  <si>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</si>
  <si>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</si>
  <si>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</si>
  <si>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</si>
  <si>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</si>
  <si>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</si>
  <si>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</si>
  <si>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</si>
  <si>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</si>
  <si>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</si>
  <si>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</si>
  <si>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</si>
  <si>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</si>
  <si>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</si>
  <si>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</si>
  <si>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</si>
  <si>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</si>
  <si>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</si>
  <si>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</si>
  <si>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</si>
  <si>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</si>
  <si>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</si>
  <si>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</si>
  <si>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</si>
  <si>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</si>
  <si>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</si>
  <si>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</si>
  <si>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</si>
  <si>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</si>
  <si>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</si>
  <si>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</si>
  <si>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</si>
  <si>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</si>
  <si>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</si>
  <si>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</si>
  <si>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</si>
  <si>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</si>
  <si>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</si>
  <si>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</si>
  <si>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</si>
  <si>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</si>
  <si>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</si>
  <si>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</si>
  <si>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</si>
  <si>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</si>
  <si>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</si>
  <si>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</si>
  <si>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</si>
  <si>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</si>
  <si>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</si>
  <si>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</si>
  <si>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</si>
  <si>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</si>
  <si>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</si>
  <si>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</si>
  <si>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</si>
  <si>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</si>
  <si>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</si>
  <si>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</si>
  <si>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</si>
  <si>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</si>
  <si>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</si>
  <si>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</si>
  <si>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</si>
  <si>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</si>
  <si>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</si>
  <si>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</si>
  <si>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</si>
  <si>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</si>
  <si>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</si>
  <si>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</si>
  <si>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</si>
  <si>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</si>
  <si>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</si>
  <si>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</si>
  <si>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</si>
  <si>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</si>
  <si>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</si>
  <si>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</si>
  <si>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</si>
  <si>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</si>
  <si>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</si>
  <si>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</si>
  <si>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</si>
  <si>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</si>
  <si>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</si>
  <si>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</si>
  <si>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</si>
  <si>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</si>
  <si>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</si>
  <si>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</si>
  <si>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</si>
  <si>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</si>
  <si>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</si>
  <si>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</si>
  <si>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</si>
  <si>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</si>
  <si>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</si>
  <si>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</si>
  <si>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</si>
  <si>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</si>
  <si>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</si>
  <si>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</si>
  <si>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</si>
  <si>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</si>
  <si>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</si>
  <si>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</si>
  <si>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</si>
  <si>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</si>
  <si>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</si>
  <si>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</si>
  <si>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</si>
  <si>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</si>
  <si>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</si>
  <si>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</si>
  <si>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</si>
  <si>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</si>
  <si>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</si>
  <si>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</si>
  <si>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</si>
  <si>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</si>
  <si>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</si>
  <si>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</si>
  <si>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</si>
  <si>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</si>
  <si>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</si>
  <si>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</si>
  <si>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</si>
  <si>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</si>
  <si>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</si>
  <si>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</si>
  <si>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</si>
  <si>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</si>
  <si>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</si>
  <si>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</si>
  <si>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</si>
  <si>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</si>
  <si>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</si>
  <si>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</si>
  <si>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</si>
  <si>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</si>
  <si>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</si>
  <si>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</si>
  <si>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</si>
  <si>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</si>
  <si>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</si>
  <si>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</si>
  <si>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</si>
  <si>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</si>
  <si>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</si>
  <si>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</si>
  <si>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</si>
  <si>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</si>
  <si>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</si>
  <si>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</si>
  <si>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</si>
  <si>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</si>
  <si>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</si>
  <si>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</si>
  <si>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</si>
  <si>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</si>
  <si>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</si>
  <si>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</si>
  <si>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</si>
  <si>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</si>
  <si>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</si>
  <si>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</si>
  <si>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</si>
  <si>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</si>
  <si>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</si>
  <si>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</si>
  <si>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</si>
  <si>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</si>
  <si>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</si>
  <si>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</si>
  <si>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</si>
  <si>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</si>
  <si>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</si>
  <si>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</si>
  <si>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</si>
  <si>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</si>
  <si>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</si>
  <si>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</si>
  <si>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</si>
  <si>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</si>
  <si>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</si>
  <si>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</si>
  <si>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</si>
  <si>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</si>
  <si>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</si>
  <si>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</si>
  <si>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</si>
  <si>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</si>
  <si>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</si>
  <si>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</si>
  <si>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</si>
  <si>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</si>
  <si>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</si>
  <si>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</si>
  <si>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</si>
  <si>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</si>
  <si>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</si>
  <si>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</si>
  <si>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</si>
  <si>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</si>
  <si>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</si>
  <si>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</si>
  <si>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</si>
  <si>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</si>
  <si>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</si>
  <si>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</si>
  <si>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</si>
  <si>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</si>
  <si>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</si>
  <si>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</si>
  <si>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</si>
  <si>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</si>
  <si>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</si>
  <si>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</si>
  <si>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</si>
  <si>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</si>
  <si>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</si>
  <si>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</si>
  <si>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</si>
  <si>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</si>
  <si>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</si>
  <si>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</si>
  <si>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</si>
  <si>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</si>
  <si>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</si>
  <si>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</si>
  <si>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</si>
  <si>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</si>
  <si>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</si>
  <si>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</si>
  <si>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</si>
  <si>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</si>
  <si>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</si>
  <si>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</si>
  <si>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</si>
  <si>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</si>
  <si>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</si>
  <si>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</si>
  <si>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</si>
  <si>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</si>
  <si>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</si>
  <si>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</si>
  <si>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</si>
  <si>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</si>
  <si>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</si>
  <si>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</si>
  <si>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</si>
  <si>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</si>
  <si>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</si>
  <si>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</si>
  <si>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</si>
  <si>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</si>
  <si>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</si>
  <si>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</si>
  <si>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</si>
  <si>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</si>
  <si>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</si>
  <si>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</si>
  <si>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</si>
  <si>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</si>
  <si>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</si>
  <si>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</si>
  <si>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</si>
  <si>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</si>
  <si>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</si>
  <si>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</si>
  <si>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</si>
  <si>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</si>
  <si>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</si>
  <si>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</si>
  <si>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</si>
  <si>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</si>
  <si>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</si>
  <si>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</si>
  <si>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</si>
  <si>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</si>
  <si>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</si>
  <si>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</si>
  <si>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</si>
  <si>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</si>
  <si>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</si>
  <si>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</si>
  <si>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</si>
  <si>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</si>
  <si>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</si>
  <si>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</si>
  <si>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</si>
  <si>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</si>
  <si>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</si>
  <si>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</si>
  <si>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</si>
  <si>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</si>
  <si>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</si>
  <si>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</si>
  <si>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</si>
  <si>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</si>
  <si>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</si>
  <si>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</si>
  <si>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</si>
  <si>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</si>
  <si>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</si>
  <si>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</si>
  <si>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</si>
  <si>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</si>
  <si>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</si>
  <si>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</si>
  <si>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</si>
  <si>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</si>
  <si>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</si>
  <si>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</si>
  <si>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</si>
  <si>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</si>
  <si>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</si>
  <si>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</si>
  <si>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</si>
  <si>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</si>
  <si>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</si>
  <si>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</si>
  <si>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</si>
  <si>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</si>
  <si>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</si>
  <si>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</si>
  <si>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</si>
  <si>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</si>
  <si>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</si>
  <si>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</si>
  <si>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</si>
  <si>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</si>
  <si>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</si>
  <si>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</si>
  <si>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</si>
  <si>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</si>
  <si>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</si>
  <si>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</si>
  <si>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</si>
  <si>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</si>
  <si>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</si>
  <si>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</si>
  <si>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</si>
  <si>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</si>
  <si>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</si>
  <si>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</si>
  <si>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</si>
  <si>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</si>
  <si>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</si>
  <si>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</si>
  <si>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</si>
  <si>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</si>
  <si>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</si>
  <si>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</si>
  <si>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</si>
  <si>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</si>
  <si>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</si>
  <si>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</si>
  <si>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</si>
  <si>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</si>
  <si>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</si>
  <si>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</si>
  <si>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</si>
  <si>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</si>
  <si>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</si>
  <si>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</si>
  <si>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</si>
  <si>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</si>
  <si>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</si>
  <si>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</si>
  <si>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</si>
  <si>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</si>
  <si>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</si>
  <si>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</si>
  <si>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</si>
  <si>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</si>
  <si>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</si>
  <si>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</si>
  <si>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</si>
  <si>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</si>
  <si>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</si>
  <si>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</si>
  <si>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</si>
  <si>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</si>
  <si>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</si>
  <si>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</si>
  <si>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</si>
  <si>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</si>
  <si>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</si>
  <si>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</si>
  <si>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</si>
  <si>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</si>
  <si>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</si>
  <si>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</si>
  <si>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</si>
  <si>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</si>
  <si>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</si>
  <si>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</si>
  <si>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</si>
  <si>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</si>
  <si>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</si>
  <si>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</si>
  <si>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</si>
  <si>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</si>
  <si>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</si>
  <si>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</si>
  <si>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</si>
  <si>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</si>
  <si>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</si>
  <si>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</si>
  <si>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</si>
  <si>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</si>
  <si>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</si>
  <si>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</si>
  <si>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</si>
  <si>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</si>
  <si>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</si>
  <si>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</si>
  <si>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</si>
  <si>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</si>
  <si>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</si>
  <si>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</si>
  <si>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</si>
  <si>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</si>
  <si>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</si>
  <si>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</si>
  <si>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</si>
  <si>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</si>
  <si>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</si>
  <si>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</si>
  <si>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</si>
  <si>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</si>
  <si>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</si>
  <si>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</si>
  <si>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</si>
  <si>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</si>
  <si>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</si>
  <si>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</si>
  <si>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</si>
  <si>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</si>
  <si>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</si>
  <si>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</si>
  <si>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</si>
  <si>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</si>
  <si>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</si>
  <si>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</si>
  <si>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</si>
  <si>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</si>
  <si>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</si>
  <si>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</si>
  <si>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</si>
  <si>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</si>
  <si>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</si>
  <si>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</si>
  <si>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</si>
  <si>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</si>
  <si>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</si>
  <si>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</si>
  <si>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</si>
  <si>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</si>
  <si>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</si>
  <si>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</si>
  <si>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</si>
  <si>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</si>
  <si>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</si>
  <si>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</si>
  <si>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</si>
  <si>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</si>
  <si>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</si>
  <si>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</si>
  <si>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</si>
  <si>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</si>
  <si>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</si>
  <si>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</si>
  <si>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</si>
  <si>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</si>
  <si>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</si>
  <si>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</si>
  <si>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</si>
  <si>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</si>
  <si>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</si>
  <si>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</si>
  <si>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</si>
  <si>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</si>
  <si>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</si>
  <si>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</si>
  <si>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</si>
  <si>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</si>
  <si>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</si>
  <si>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</si>
  <si>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</si>
  <si>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</si>
  <si>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</si>
  <si>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</si>
  <si>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</si>
  <si>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</si>
  <si>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</si>
  <si>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</si>
  <si>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</si>
  <si>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</si>
  <si>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</si>
  <si>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</si>
  <si>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</si>
  <si>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</si>
  <si>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</si>
  <si>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</si>
  <si>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</si>
  <si>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</si>
  <si>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</si>
  <si>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</si>
  <si>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</si>
  <si>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</si>
  <si>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</si>
  <si>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</si>
  <si>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</si>
  <si>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</si>
  <si>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</si>
  <si>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</si>
  <si>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</si>
  <si>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</si>
  <si>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</si>
  <si>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</si>
  <si>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</si>
  <si>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</si>
  <si>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</si>
  <si>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</si>
  <si>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</si>
  <si>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</si>
  <si>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</si>
  <si>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</si>
  <si>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</si>
  <si>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</si>
  <si>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</si>
  <si>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</si>
  <si>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</si>
  <si>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</si>
  <si>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</si>
  <si>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</si>
  <si>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</si>
  <si>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</si>
  <si>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</si>
  <si>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</si>
  <si>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</si>
  <si>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</si>
  <si>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</si>
  <si>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</si>
  <si>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</si>
  <si>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</si>
  <si>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</si>
  <si>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</si>
  <si>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</si>
  <si>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</si>
  <si>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</si>
  <si>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</si>
  <si>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</si>
  <si>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</si>
  <si>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</si>
  <si>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</si>
  <si>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</si>
  <si>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</si>
  <si>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</si>
  <si>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</si>
  <si>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</si>
  <si>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</si>
  <si>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</si>
  <si>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</si>
  <si>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</si>
  <si>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</si>
  <si>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</si>
  <si>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</si>
  <si>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</si>
  <si>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</si>
  <si>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</si>
  <si>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</si>
  <si>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</si>
  <si>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</si>
  <si>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</si>
  <si>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</si>
  <si>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</si>
  <si>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</si>
  <si>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</si>
  <si>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</si>
  <si>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</si>
  <si>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</si>
  <si>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</si>
  <si>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</si>
  <si>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</si>
  <si>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</si>
  <si>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</si>
  <si>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</si>
  <si>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</si>
  <si>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</si>
  <si>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</si>
  <si>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</si>
  <si>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</si>
  <si>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</si>
  <si>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</si>
  <si>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</si>
  <si>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</si>
  <si>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</si>
  <si>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</si>
  <si>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</si>
  <si>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</si>
  <si>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</si>
  <si>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</si>
  <si>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</si>
  <si>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</si>
  <si>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</si>
  <si>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</si>
  <si>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</si>
  <si>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</si>
  <si>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</si>
  <si>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</si>
  <si>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</si>
  <si>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</si>
  <si>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</si>
  <si>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</si>
  <si>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</si>
  <si>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</si>
  <si>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</si>
  <si>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</si>
  <si>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</si>
  <si>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</si>
  <si>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</si>
  <si>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</si>
  <si>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</si>
  <si>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</si>
  <si>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</si>
  <si>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</si>
  <si>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</si>
  <si>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</si>
  <si>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</si>
  <si>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</si>
  <si>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</si>
  <si>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</si>
  <si>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</si>
  <si>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</si>
  <si>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</si>
  <si>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</si>
  <si>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</si>
  <si>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</si>
  <si>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</si>
  <si>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</si>
  <si>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</si>
  <si>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</si>
  <si>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</si>
  <si>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</si>
  <si>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</si>
  <si>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</si>
  <si>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</si>
  <si>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</si>
  <si>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</si>
  <si>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</si>
  <si>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</si>
  <si>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</si>
  <si>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</si>
  <si>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</si>
  <si>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</si>
  <si>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</si>
  <si>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</si>
  <si>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</si>
  <si>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</si>
  <si>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</si>
  <si>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</si>
  <si>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</si>
  <si>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</si>
  <si>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</si>
  <si>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</si>
  <si>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</si>
  <si>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</si>
  <si>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</si>
  <si>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</si>
  <si>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</si>
  <si>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</si>
  <si>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</si>
  <si>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</si>
  <si>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</si>
  <si>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</si>
  <si>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</si>
  <si>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</si>
  <si>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</si>
  <si>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</si>
  <si>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</si>
  <si>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</si>
  <si>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</si>
  <si>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</si>
  <si>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</si>
  <si>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</si>
  <si>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</si>
  <si>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</si>
  <si>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</si>
  <si>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</si>
  <si>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</si>
  <si>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</si>
  <si>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</si>
  <si>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</si>
  <si>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</si>
  <si>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</si>
  <si>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</si>
  <si>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</si>
  <si>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</si>
  <si>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</si>
  <si>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</si>
  <si>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</si>
  <si>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</si>
  <si>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</si>
  <si>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</si>
  <si>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</si>
  <si>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</si>
  <si>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</si>
  <si>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</si>
  <si>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</si>
  <si>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</si>
  <si>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</si>
  <si>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</si>
  <si>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</si>
  <si>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</si>
  <si>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</si>
  <si>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</si>
  <si>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</si>
  <si>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</si>
  <si>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</si>
  <si>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</si>
  <si>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</si>
  <si>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</si>
  <si>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</si>
  <si>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</si>
  <si>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</si>
  <si>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</si>
  <si>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</si>
  <si>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</si>
  <si>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</si>
  <si>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</si>
  <si>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</si>
  <si>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</si>
  <si>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</si>
  <si>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</si>
  <si>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</si>
  <si>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</si>
  <si>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</si>
  <si>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</si>
  <si>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</si>
  <si>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</si>
  <si>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</si>
  <si>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</si>
  <si>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</si>
  <si>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</si>
  <si>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</si>
  <si>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</si>
  <si>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</si>
  <si>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</si>
  <si>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</si>
  <si>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</si>
  <si>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</si>
  <si>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</si>
  <si>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</si>
  <si>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</si>
  <si>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</si>
  <si>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</si>
  <si>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</si>
  <si>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</si>
  <si>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</si>
  <si>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</si>
  <si>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</si>
  <si>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</si>
  <si>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</si>
  <si>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</si>
  <si>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</si>
  <si>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</si>
  <si>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</si>
  <si>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</si>
  <si>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</si>
  <si>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</si>
  <si>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</si>
  <si>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</si>
  <si>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</si>
  <si>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</si>
  <si>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</si>
  <si>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</si>
  <si>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</si>
  <si>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</si>
  <si>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</si>
  <si>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</si>
  <si>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</si>
  <si>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</si>
  <si>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</si>
  <si>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</si>
  <si>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</si>
  <si>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</si>
  <si>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</si>
  <si>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</si>
  <si>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</si>
  <si>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</si>
  <si>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</si>
  <si>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</si>
  <si>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</si>
  <si>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</si>
  <si>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</si>
  <si>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</si>
  <si>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</si>
  <si>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</si>
  <si>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</si>
  <si>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</si>
  <si>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</si>
  <si>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</si>
  <si>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</si>
  <si>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</si>
  <si>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</si>
  <si>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</si>
  <si>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</si>
  <si>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</si>
  <si>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</si>
  <si>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</si>
  <si>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</si>
  <si>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</si>
  <si>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</si>
  <si>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</si>
  <si>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</si>
  <si>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</si>
  <si>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</si>
  <si>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</si>
  <si>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</si>
  <si>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</si>
  <si>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</si>
  <si>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</si>
  <si>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</si>
  <si>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</si>
  <si>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</si>
  <si>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</si>
  <si>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</si>
  <si>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</si>
  <si>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</si>
  <si>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</si>
  <si>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</si>
  <si>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</si>
  <si>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</si>
  <si>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</si>
  <si>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</si>
  <si>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</si>
  <si>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</si>
  <si>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</si>
  <si>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</si>
  <si>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</si>
  <si>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</si>
  <si>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</si>
  <si>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</si>
  <si>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</si>
  <si>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</si>
  <si>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</si>
  <si>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</si>
  <si>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</si>
  <si>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</si>
  <si>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</si>
  <si>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</si>
  <si>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</si>
  <si>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</si>
  <si>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</si>
  <si>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</si>
  <si>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</si>
  <si>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</si>
  <si>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</si>
  <si>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</si>
  <si>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</si>
  <si>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</si>
  <si>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</si>
  <si>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</si>
  <si>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</si>
  <si>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</si>
  <si>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</si>
  <si>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</si>
  <si>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</si>
  <si>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</si>
  <si>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</si>
  <si>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</si>
  <si>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</si>
  <si>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</si>
  <si>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</si>
  <si>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</si>
  <si>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</si>
  <si>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</si>
  <si>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</si>
  <si>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</si>
  <si>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</si>
  <si>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</si>
  <si>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</si>
  <si>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</si>
  <si>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</si>
  <si>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</si>
  <si>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</si>
  <si>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</si>
  <si>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</si>
  <si>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</si>
  <si>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</si>
  <si>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</si>
  <si>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</si>
  <si>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</si>
  <si>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</si>
  <si>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</si>
  <si>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</si>
  <si>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</si>
  <si>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</si>
  <si>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</si>
  <si>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</si>
  <si>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</si>
  <si>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</si>
  <si>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</si>
  <si>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</si>
  <si>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</si>
  <si>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</si>
  <si>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</si>
  <si>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</si>
  <si>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</si>
  <si>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</si>
  <si>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</si>
  <si>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</si>
  <si>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</si>
  <si>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</si>
  <si>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</si>
  <si>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</si>
  <si>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</si>
  <si>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</si>
  <si>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</si>
  <si>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</si>
  <si>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</si>
  <si>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</si>
  <si>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</si>
  <si>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</si>
  <si>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</si>
  <si>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</si>
  <si>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</si>
  <si>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</si>
  <si>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</si>
  <si>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</si>
  <si>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</si>
  <si>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</si>
  <si>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</si>
  <si>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</si>
  <si>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</si>
  <si>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</si>
  <si>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</si>
  <si>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</si>
  <si>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</si>
  <si>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</si>
  <si>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</si>
  <si>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</si>
  <si>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</si>
  <si>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</si>
  <si>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</si>
  <si>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</si>
  <si>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</si>
  <si>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</si>
  <si>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</si>
  <si>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</si>
  <si>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</si>
  <si>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</si>
  <si>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</si>
  <si>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</si>
  <si>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</si>
  <si>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</si>
  <si>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</si>
  <si>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</si>
  <si>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</si>
  <si>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</si>
  <si>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</si>
  <si>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</si>
  <si>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</si>
  <si>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</si>
  <si>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</si>
  <si>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</si>
  <si>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</si>
  <si>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</si>
  <si>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</si>
  <si>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</si>
  <si>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</si>
  <si>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</si>
  <si>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</si>
  <si>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</si>
  <si>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</si>
  <si>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</si>
  <si>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</si>
  <si>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</si>
  <si>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</si>
  <si>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</si>
  <si>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</si>
  <si>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</si>
  <si>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</si>
  <si>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</si>
  <si>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</si>
  <si>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</si>
  <si>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</si>
  <si>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</si>
  <si>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</si>
  <si>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</si>
  <si>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</si>
  <si>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</si>
  <si>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</si>
  <si>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</si>
  <si>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</si>
  <si>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</si>
  <si>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</si>
  <si>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</si>
  <si>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</si>
  <si>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</si>
  <si>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</si>
  <si>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</si>
  <si>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</si>
  <si>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</si>
  <si>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</si>
  <si>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</si>
  <si>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</si>
  <si>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</si>
  <si>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</si>
  <si>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</si>
  <si>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</si>
  <si>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</si>
  <si>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</si>
  <si>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</si>
  <si>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</si>
  <si>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</si>
  <si>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</si>
  <si>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</si>
  <si>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</si>
  <si>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</si>
  <si>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</si>
  <si>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</si>
  <si>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</si>
  <si>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</si>
  <si>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</si>
  <si>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</si>
  <si>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</si>
  <si>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</si>
  <si>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</si>
  <si>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</si>
  <si>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</si>
  <si>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</si>
  <si>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</si>
  <si>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</si>
  <si>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</si>
  <si>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</si>
  <si>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</si>
  <si>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</si>
  <si>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</si>
  <si>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</si>
  <si>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</si>
  <si>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</si>
  <si>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</si>
  <si>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</si>
  <si>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</si>
  <si>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</si>
  <si>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</si>
  <si>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</si>
  <si>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</si>
  <si>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</si>
  <si>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</si>
  <si>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</si>
  <si>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</si>
  <si>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</si>
  <si>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</si>
  <si>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</si>
  <si>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</si>
  <si>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</si>
  <si>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</si>
  <si>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</si>
  <si>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</si>
  <si>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</si>
  <si>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</si>
  <si>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</si>
  <si>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</si>
  <si>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</si>
  <si>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</si>
  <si>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</si>
  <si>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</si>
  <si>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</si>
  <si>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</si>
  <si>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</si>
  <si>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</si>
  <si>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</si>
  <si>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</si>
  <si>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</si>
  <si>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</si>
  <si>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</si>
  <si>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</si>
  <si>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</si>
  <si>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</si>
  <si>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</si>
  <si>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</si>
  <si>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</si>
  <si>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</si>
  <si>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</si>
  <si>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</si>
  <si>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</si>
  <si>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</si>
  <si>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</si>
  <si>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</si>
  <si>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</si>
  <si>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</si>
  <si>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</si>
  <si>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</si>
  <si>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</si>
  <si>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</si>
  <si>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</si>
  <si>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</si>
  <si>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</si>
  <si>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</si>
  <si>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</si>
  <si>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</si>
  <si>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</si>
  <si>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</si>
  <si>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</si>
  <si>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</si>
  <si>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</si>
  <si>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</si>
  <si>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</si>
  <si>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</si>
  <si>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</si>
  <si>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</si>
  <si>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</si>
  <si>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</si>
  <si>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</si>
  <si>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</si>
  <si>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</si>
  <si>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</si>
  <si>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</si>
  <si>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</si>
  <si>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</si>
  <si>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</si>
  <si>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</si>
  <si>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</si>
  <si>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</si>
  <si>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</si>
  <si>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</si>
  <si>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</si>
  <si>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</si>
  <si>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</si>
  <si>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</si>
  <si>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</si>
  <si>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</si>
  <si>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</si>
  <si>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</si>
  <si>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</si>
  <si>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</si>
  <si>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</si>
  <si>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</si>
  <si>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</si>
  <si>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</si>
  <si>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</si>
  <si>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</si>
  <si>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</si>
  <si>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</si>
  <si>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</si>
  <si>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</si>
  <si>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</si>
  <si>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</si>
  <si>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</si>
  <si>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</si>
  <si>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</si>
  <si>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</si>
  <si>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</si>
  <si>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</si>
  <si>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</si>
  <si>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</si>
  <si>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</si>
  <si>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</si>
  <si>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</si>
  <si>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</si>
  <si>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</si>
  <si>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</si>
  <si>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</si>
  <si>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</si>
  <si>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</si>
  <si>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</si>
  <si>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</si>
  <si>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</si>
  <si>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</si>
  <si>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</si>
  <si>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</si>
  <si>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</si>
  <si>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</si>
  <si>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</si>
  <si>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</si>
  <si>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</si>
  <si>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</si>
  <si>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</si>
  <si>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</si>
  <si>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</si>
  <si>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</si>
  <si>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</si>
  <si>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</si>
  <si>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</si>
  <si>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</si>
  <si>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</si>
  <si>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</si>
  <si>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</si>
  <si>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</si>
  <si>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</si>
  <si>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</si>
  <si>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</si>
  <si>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</si>
  <si>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</si>
  <si>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</si>
  <si>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</si>
  <si>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</si>
  <si>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</si>
  <si>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</si>
  <si>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</si>
  <si>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</si>
  <si>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</si>
  <si>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</si>
  <si>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</si>
  <si>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</si>
  <si>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</si>
  <si>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</si>
  <si>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</si>
  <si>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</si>
  <si>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</si>
  <si>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</si>
  <si>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</si>
  <si>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</si>
  <si>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</si>
  <si>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</si>
  <si>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</si>
  <si>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</si>
  <si>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</si>
  <si>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</si>
  <si>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</si>
  <si>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</si>
  <si>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</si>
  <si>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</si>
  <si>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</si>
  <si>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</si>
  <si>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</si>
  <si>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</si>
  <si>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</si>
  <si>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</si>
  <si>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</si>
  <si>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</si>
  <si>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</si>
  <si>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</si>
  <si>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</si>
  <si>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</si>
  <si>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</si>
  <si>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</si>
  <si>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</si>
  <si>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</si>
  <si>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</si>
  <si>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</si>
  <si>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</si>
  <si>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</si>
  <si>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</si>
  <si>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</si>
  <si>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</si>
  <si>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</si>
  <si>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</si>
  <si>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</si>
  <si>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</si>
  <si>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</si>
  <si>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</si>
  <si>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</si>
  <si>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</si>
  <si>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</si>
  <si>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</si>
  <si>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</si>
  <si>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</si>
  <si>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</si>
  <si>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</si>
  <si>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</si>
  <si>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</si>
  <si>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</si>
  <si>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</si>
  <si>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</si>
  <si>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</si>
  <si>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</si>
  <si>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</si>
  <si>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</si>
  <si>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</si>
  <si>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</si>
  <si>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</si>
  <si>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</si>
  <si>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</si>
  <si>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</si>
  <si>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</si>
  <si>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</si>
  <si>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</si>
  <si>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</si>
  <si>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</si>
  <si>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</si>
  <si>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</si>
  <si>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</si>
  <si>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</si>
  <si>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</si>
  <si>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</si>
  <si>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</si>
  <si>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</si>
  <si>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</si>
  <si>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</si>
  <si>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</si>
  <si>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</si>
  <si>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</si>
  <si>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</si>
  <si>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</si>
  <si>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</si>
  <si>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</si>
  <si>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</si>
  <si>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</si>
  <si>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</si>
  <si>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</si>
  <si>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</si>
  <si>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</si>
  <si>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</si>
  <si>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</si>
  <si>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</si>
  <si>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</si>
  <si>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</si>
  <si>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</si>
  <si>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</si>
  <si>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</si>
  <si>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</si>
  <si>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</si>
  <si>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</si>
  <si>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</si>
  <si>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</si>
  <si>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</si>
  <si>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</si>
  <si>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</si>
  <si>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</si>
  <si>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</si>
  <si>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</si>
  <si>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</si>
  <si>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</si>
  <si>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</si>
  <si>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</si>
  <si>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</si>
  <si>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</si>
  <si>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</si>
  <si>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</si>
  <si>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</si>
  <si>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</si>
  <si>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</si>
  <si>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</si>
  <si>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</si>
  <si>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</si>
  <si>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</si>
  <si>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</si>
  <si>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</si>
  <si>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</si>
  <si>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</si>
  <si>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</si>
  <si>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</si>
  <si>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</si>
  <si>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</si>
  <si>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</si>
  <si>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</si>
  <si>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</si>
  <si>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</si>
  <si>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</si>
  <si>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</si>
  <si>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</si>
  <si>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</si>
  <si>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</si>
  <si>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</si>
  <si>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</si>
  <si>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</si>
  <si>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</si>
  <si>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</si>
  <si>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</si>
  <si>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</si>
  <si>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</si>
  <si>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</si>
  <si>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</si>
  <si>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</si>
  <si>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</si>
  <si>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</si>
  <si>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</si>
  <si>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</si>
  <si>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</si>
  <si>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</si>
  <si>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</si>
  <si>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</si>
  <si>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</si>
  <si>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</si>
  <si>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</si>
  <si>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</si>
  <si>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</si>
  <si>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</si>
  <si>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</si>
  <si>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</si>
  <si>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</si>
  <si>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</si>
  <si>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</si>
  <si>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</si>
  <si>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</si>
  <si>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</si>
  <si>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</si>
  <si>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</si>
  <si>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</si>
  <si>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</si>
  <si>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</si>
  <si>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</si>
  <si>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</si>
  <si>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</si>
  <si>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</si>
  <si>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</si>
  <si>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</si>
  <si>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</si>
  <si>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</si>
  <si>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</si>
  <si>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</si>
  <si>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</si>
  <si>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</si>
  <si>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</si>
  <si>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</si>
  <si>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</si>
  <si>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</si>
  <si>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</si>
  <si>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</si>
  <si>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</si>
  <si>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</si>
  <si>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</si>
  <si>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</si>
  <si>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</si>
  <si>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</si>
  <si>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</si>
  <si>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</si>
  <si>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</si>
  <si>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</si>
  <si>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</si>
  <si>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</si>
  <si>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</si>
  <si>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</si>
  <si>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</si>
  <si>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</si>
  <si>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</si>
  <si>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</si>
  <si>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</si>
  <si>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</si>
  <si>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</si>
  <si>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</si>
  <si>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</si>
  <si>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</si>
  <si>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</si>
  <si>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</si>
  <si>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</si>
  <si>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</si>
  <si>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</si>
  <si>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</si>
  <si>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</si>
  <si>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</si>
  <si>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</si>
  <si>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</si>
  <si>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</si>
  <si>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</si>
  <si>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</si>
  <si>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</si>
  <si>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</si>
  <si>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</si>
  <si>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</si>
  <si>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</si>
  <si>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</si>
  <si>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</si>
  <si>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</si>
  <si>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</si>
  <si>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</si>
  <si>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</si>
  <si>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</si>
  <si>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</si>
  <si>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</si>
  <si>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</si>
  <si>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</si>
  <si>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</si>
  <si>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</si>
  <si>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</si>
  <si>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</si>
  <si>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</si>
  <si>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</si>
  <si>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</si>
  <si>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</si>
  <si>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</si>
  <si>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</si>
  <si>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</si>
  <si>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</si>
  <si>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</si>
  <si>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</si>
  <si>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</si>
  <si>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</si>
  <si>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</si>
  <si>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</si>
  <si>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</si>
  <si>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</si>
  <si>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</si>
  <si>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</si>
  <si>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</si>
  <si>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</si>
  <si>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</si>
  <si>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</si>
  <si>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</si>
  <si>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</si>
  <si>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</si>
  <si>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</si>
  <si>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</si>
  <si>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</si>
  <si>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</si>
  <si>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</si>
  <si>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</si>
  <si>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</si>
  <si>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</si>
  <si>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</si>
  <si>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</si>
  <si>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</si>
  <si>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</si>
  <si>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</si>
  <si>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</si>
  <si>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</si>
  <si>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</si>
  <si>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</si>
  <si>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</si>
  <si>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</si>
  <si>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</si>
  <si>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</si>
  <si>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</si>
  <si>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</si>
  <si>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</si>
  <si>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</si>
  <si>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</si>
  <si>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</si>
  <si>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</si>
  <si>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</si>
  <si>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</si>
  <si>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</si>
  <si>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</si>
  <si>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</si>
  <si>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</si>
  <si>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</si>
  <si>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</si>
  <si>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</si>
  <si>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</si>
  <si>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</si>
  <si>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</si>
  <si>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</si>
  <si>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</si>
  <si>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</si>
  <si>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</si>
  <si>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</si>
  <si>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</si>
  <si>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</si>
  <si>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</si>
  <si>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</si>
  <si>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</si>
  <si>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</si>
  <si>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</si>
  <si>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</si>
  <si>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</si>
  <si>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</si>
  <si>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</si>
  <si>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</si>
  <si>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</si>
  <si>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</si>
  <si>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</si>
  <si>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</si>
  <si>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</si>
  <si>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</si>
  <si>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</si>
  <si>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</si>
  <si>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</si>
  <si>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</si>
  <si>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</si>
  <si>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</si>
  <si>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</si>
  <si>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</si>
  <si>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</si>
  <si>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</si>
  <si>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</si>
  <si>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</si>
  <si>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</si>
  <si>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</si>
  <si>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</si>
  <si>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</si>
  <si>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</si>
  <si>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</si>
  <si>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</si>
  <si>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</si>
  <si>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</si>
  <si>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</si>
  <si>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</si>
  <si>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</si>
  <si>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</si>
  <si>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</si>
  <si>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</si>
  <si>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</si>
  <si>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</si>
  <si>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</si>
  <si>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</si>
  <si>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</si>
  <si>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</si>
  <si>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</si>
  <si>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</si>
  <si>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</si>
  <si>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</si>
  <si>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</si>
  <si>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</si>
  <si>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</si>
  <si>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</si>
  <si>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</si>
  <si>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</si>
  <si>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</si>
  <si>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</si>
  <si>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</si>
  <si>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</si>
  <si>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</si>
  <si>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</si>
  <si>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</si>
  <si>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</si>
  <si>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</si>
  <si>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</si>
  <si>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</si>
  <si>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</si>
  <si>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</si>
  <si>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</si>
  <si>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</si>
  <si>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</si>
  <si>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</si>
  <si>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</si>
  <si>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</si>
  <si>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</si>
  <si>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</si>
  <si>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</si>
  <si>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</si>
  <si>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</si>
  <si>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</si>
  <si>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</si>
  <si>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</si>
  <si>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</si>
  <si>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</si>
  <si>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</si>
  <si>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</si>
  <si>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</si>
  <si>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</si>
  <si>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</si>
  <si>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</si>
  <si>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</si>
  <si>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</si>
  <si>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</si>
  <si>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</si>
  <si>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</si>
  <si>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</si>
  <si>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</si>
  <si>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</si>
  <si>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</si>
  <si>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</si>
  <si>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</si>
  <si>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</si>
  <si>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</si>
  <si>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</si>
  <si>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</si>
  <si>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</si>
  <si>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</si>
  <si>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</si>
  <si>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</si>
  <si>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</si>
  <si>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</si>
  <si>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</si>
  <si>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</si>
  <si>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</si>
  <si>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</si>
  <si>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</si>
  <si>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</si>
  <si>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</si>
  <si>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</si>
  <si>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</si>
  <si>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</si>
  <si>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</si>
  <si>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</si>
  <si>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</si>
  <si>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</si>
  <si>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</si>
  <si>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</si>
  <si>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</si>
  <si>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</si>
  <si>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</si>
  <si>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</si>
  <si>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</si>
  <si>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</si>
  <si>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</si>
  <si>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</si>
  <si>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</si>
  <si>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</si>
  <si>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</si>
  <si>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</si>
  <si>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</si>
  <si>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</si>
  <si>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</si>
  <si>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</si>
  <si>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</si>
  <si>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</si>
  <si>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</si>
  <si>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</si>
  <si>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</si>
  <si>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</si>
  <si>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</si>
  <si>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</si>
  <si>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</si>
  <si>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</si>
  <si>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</si>
  <si>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</si>
  <si>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</si>
  <si>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</si>
  <si>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</si>
  <si>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</si>
  <si>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</si>
  <si>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</si>
  <si>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</si>
  <si>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</si>
  <si>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</si>
  <si>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</si>
  <si>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</si>
  <si>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</si>
  <si>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</si>
  <si>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</si>
  <si>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</si>
  <si>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</si>
  <si>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</si>
  <si>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</si>
  <si>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</si>
  <si>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</si>
  <si>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</si>
  <si>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</si>
  <si>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</si>
  <si>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</si>
  <si>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</si>
  <si>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</si>
  <si>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</si>
  <si>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</si>
  <si>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</si>
  <si>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</si>
  <si>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</si>
  <si>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</si>
  <si>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</si>
  <si>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</si>
  <si>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</si>
  <si>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</si>
  <si>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</si>
  <si>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</si>
  <si>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</si>
  <si>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</si>
  <si>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</si>
  <si>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</si>
  <si>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</si>
  <si>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</si>
  <si>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</si>
  <si>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</si>
  <si>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</si>
  <si>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</si>
  <si>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</si>
  <si>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</si>
  <si>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</si>
  <si>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</si>
  <si>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</si>
  <si>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</si>
  <si>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</si>
  <si>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</si>
  <si>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</si>
  <si>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</si>
  <si>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</si>
  <si>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</si>
  <si>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</si>
  <si>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</si>
  <si>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</si>
  <si>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</si>
  <si>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</si>
  <si>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</si>
  <si>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</si>
  <si>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</si>
  <si>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</si>
  <si>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</si>
  <si>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</si>
  <si>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</si>
  <si>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</si>
  <si>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</si>
  <si>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</si>
  <si>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</si>
  <si>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</si>
  <si>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</si>
  <si>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</si>
  <si>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</si>
  <si>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</si>
  <si>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</si>
  <si>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</si>
  <si>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</si>
  <si>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</si>
  <si>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</si>
  <si>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</si>
  <si>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</si>
  <si>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</si>
  <si>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</si>
  <si>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</si>
  <si>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</si>
  <si>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</si>
  <si>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</si>
  <si>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</si>
  <si>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</si>
  <si>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</si>
  <si>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</si>
  <si>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</si>
  <si>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</si>
  <si>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</si>
  <si>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</si>
  <si>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</si>
  <si>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</si>
  <si>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</si>
  <si>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</si>
  <si>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</si>
  <si>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</si>
  <si>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</si>
  <si>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</si>
  <si>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</si>
  <si>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</si>
  <si>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</si>
  <si>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</si>
  <si>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</si>
  <si>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</si>
  <si>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</si>
  <si>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</si>
  <si>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</si>
  <si>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</si>
  <si>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</si>
  <si>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</si>
  <si>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</si>
  <si>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</si>
  <si>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</si>
  <si>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</si>
  <si>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</si>
  <si>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</si>
  <si>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</si>
  <si>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</si>
  <si>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</si>
  <si>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</si>
  <si>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</si>
  <si>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</si>
  <si>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</si>
  <si>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</si>
  <si>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</si>
  <si>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</si>
  <si>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</si>
  <si>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</si>
  <si>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</si>
  <si>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</si>
  <si>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</si>
  <si>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</si>
  <si>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</si>
  <si>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</si>
  <si>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</si>
  <si>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</si>
  <si>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</si>
  <si>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</si>
  <si>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</si>
  <si>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</si>
  <si>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</si>
  <si>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</si>
  <si>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</si>
  <si>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</si>
  <si>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</si>
  <si>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</si>
  <si>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</si>
  <si>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</si>
  <si>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</si>
  <si>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</si>
  <si>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</si>
  <si>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</si>
  <si>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</si>
  <si>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</si>
  <si>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</si>
  <si>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</si>
  <si>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</si>
  <si>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</si>
  <si>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</si>
  <si>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</si>
  <si>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</si>
  <si>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</si>
  <si>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</si>
  <si>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</si>
  <si>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</si>
  <si>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</si>
  <si>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</si>
  <si>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</si>
  <si>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</si>
  <si>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</si>
  <si>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</si>
  <si>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</si>
  <si>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</si>
  <si>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</si>
  <si>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</si>
  <si>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</si>
  <si>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</si>
  <si>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</si>
  <si>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</si>
  <si>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</si>
  <si>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</si>
  <si>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</si>
  <si>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</si>
  <si>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</si>
  <si>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</si>
  <si>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</si>
  <si>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</si>
  <si>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</si>
  <si>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</si>
  <si>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</si>
  <si>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</si>
  <si>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</si>
  <si>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</si>
  <si>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</si>
  <si>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</si>
  <si>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</si>
  <si>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</si>
  <si>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</si>
  <si>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</si>
  <si>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</si>
  <si>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</si>
  <si>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</si>
  <si>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</si>
  <si>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</si>
  <si>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</si>
  <si>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</si>
  <si>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</si>
  <si>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</si>
  <si>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</si>
  <si>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</si>
  <si>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</si>
  <si>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</si>
  <si>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</si>
  <si>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</si>
  <si>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</si>
  <si>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</si>
  <si>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</si>
  <si>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</si>
  <si>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</si>
  <si>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</si>
  <si>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</si>
  <si>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</si>
  <si>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</si>
  <si>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</si>
  <si>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</si>
  <si>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</si>
  <si>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</si>
  <si>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</si>
  <si>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</si>
  <si>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</si>
  <si>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</si>
  <si>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</si>
  <si>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</si>
  <si>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</si>
  <si>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</si>
  <si>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</si>
  <si>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</si>
  <si>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</si>
  <si>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</si>
  <si>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</si>
  <si>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</si>
  <si>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</si>
  <si>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</si>
  <si>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</si>
  <si>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</si>
  <si>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</si>
  <si>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</si>
  <si>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</si>
  <si>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</si>
  <si>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</si>
  <si>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</si>
  <si>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</si>
  <si>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</si>
  <si>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</si>
  <si>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</si>
  <si>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</si>
  <si>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</si>
  <si>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</si>
  <si>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</si>
  <si>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</si>
  <si>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</si>
  <si>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</si>
  <si>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</si>
  <si>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</si>
  <si>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</si>
  <si>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</si>
  <si>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</si>
  <si>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</si>
  <si>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</si>
  <si>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</si>
  <si>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</si>
  <si>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</si>
  <si>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</si>
  <si>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</si>
  <si>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</si>
  <si>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</si>
  <si>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</si>
  <si>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</si>
  <si>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</si>
  <si>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</si>
  <si>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</si>
  <si>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</si>
  <si>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</si>
  <si>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</si>
  <si>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</si>
  <si>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</si>
  <si>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</si>
  <si>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</si>
  <si>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</si>
  <si>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</si>
  <si>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</si>
  <si>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</si>
  <si>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</si>
  <si>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</si>
  <si>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</si>
  <si>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</si>
  <si>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</si>
  <si>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</si>
  <si>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</si>
  <si>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</si>
  <si>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</si>
  <si>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</si>
  <si>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</si>
  <si>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</si>
  <si>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</si>
  <si>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</si>
  <si>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</si>
  <si>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</si>
  <si>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</si>
  <si>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</si>
  <si>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</si>
  <si>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</si>
  <si>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</si>
  <si>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</si>
  <si>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</si>
  <si>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</si>
  <si>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</si>
  <si>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</si>
  <si>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</si>
  <si>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</si>
  <si>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</si>
  <si>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</si>
  <si>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</si>
  <si>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</si>
  <si>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</si>
  <si>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</si>
  <si>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</si>
  <si>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</si>
  <si>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</si>
  <si>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</si>
  <si>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</si>
  <si>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</si>
  <si>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</si>
  <si>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</si>
  <si>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</si>
  <si>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</si>
  <si>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</si>
  <si>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</si>
  <si>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</si>
  <si>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</si>
  <si>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</si>
  <si>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</si>
  <si>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</si>
  <si>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</si>
  <si>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</si>
  <si>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</si>
  <si>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</si>
  <si>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</si>
  <si>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</si>
  <si>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</si>
  <si>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</si>
  <si>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</si>
  <si>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</si>
  <si>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</si>
  <si>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</si>
  <si>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</si>
  <si>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</si>
  <si>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</si>
  <si>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</si>
  <si>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</si>
  <si>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</si>
  <si>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</si>
  <si>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</si>
  <si>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</si>
  <si>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</si>
  <si>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</si>
  <si>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</si>
  <si>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</si>
  <si>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</si>
  <si>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</si>
  <si>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</si>
  <si>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</si>
  <si>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</si>
  <si>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</si>
  <si>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</si>
  <si>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</si>
  <si>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</si>
  <si>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</si>
  <si>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</si>
  <si>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</si>
  <si>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</si>
  <si>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</si>
  <si>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</si>
  <si>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</si>
  <si>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</si>
  <si>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</si>
  <si>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</si>
  <si>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</si>
  <si>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</si>
  <si>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</si>
  <si>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</si>
  <si>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</si>
  <si>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</si>
  <si>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</si>
  <si>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</si>
  <si>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</si>
  <si>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</si>
  <si>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</si>
  <si>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</si>
  <si>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</si>
  <si>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</si>
  <si>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</si>
  <si>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</si>
  <si>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</si>
  <si>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</si>
  <si>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</si>
  <si>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</si>
  <si>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</si>
  <si>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</si>
  <si>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</si>
  <si>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</si>
  <si>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</si>
  <si>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</si>
  <si>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</si>
  <si>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</si>
  <si>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</si>
  <si>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</si>
  <si>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</si>
  <si>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</si>
  <si>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</si>
  <si>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</si>
  <si>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</si>
  <si>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</si>
  <si>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</si>
  <si>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</si>
  <si>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</si>
  <si>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</si>
  <si>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</si>
  <si>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</si>
  <si>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</si>
  <si>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</si>
  <si>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</si>
  <si>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</si>
  <si>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</si>
  <si>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</si>
  <si>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</si>
  <si>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</si>
  <si>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</si>
  <si>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</si>
  <si>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</si>
  <si>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</si>
  <si>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</si>
  <si>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</si>
  <si>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</si>
  <si>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</si>
  <si>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</si>
  <si>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</si>
  <si>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</si>
  <si>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</si>
  <si>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</si>
  <si>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</si>
  <si>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</si>
  <si>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</si>
  <si>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</si>
  <si>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</si>
  <si>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</si>
  <si>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</si>
  <si>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</si>
  <si>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</si>
  <si>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</si>
  <si>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</si>
  <si>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</si>
  <si>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</si>
  <si>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</si>
  <si>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</si>
  <si>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</si>
  <si>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</si>
  <si>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</si>
  <si>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</si>
  <si>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</si>
  <si>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</si>
  <si>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</si>
  <si>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</si>
  <si>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</si>
  <si>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</si>
  <si>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</si>
  <si>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</si>
  <si>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</si>
  <si>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</si>
  <si>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</si>
  <si>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</si>
  <si>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</si>
  <si>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</si>
  <si>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</si>
  <si>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</si>
  <si>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</si>
  <si>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</si>
  <si>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</si>
  <si>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</si>
  <si>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</si>
  <si>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</si>
  <si>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</si>
  <si>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</si>
  <si>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</si>
  <si>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</si>
  <si>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</si>
  <si>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</si>
  <si>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</si>
  <si>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</si>
  <si>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</si>
  <si>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</si>
  <si>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</si>
  <si>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</si>
  <si>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</si>
  <si>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</si>
  <si>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</si>
  <si>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</si>
  <si>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</si>
  <si>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</si>
  <si>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</si>
  <si>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</si>
  <si>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</si>
  <si>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</si>
  <si>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</si>
  <si>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</si>
  <si>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</si>
  <si>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</si>
  <si>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</si>
  <si>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</si>
  <si>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</si>
  <si>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</si>
  <si>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</si>
  <si>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</si>
  <si>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</si>
  <si>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</si>
  <si>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</si>
  <si>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</si>
  <si>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</si>
  <si>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</si>
  <si>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</si>
  <si>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</si>
  <si>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</si>
  <si>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</si>
  <si>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</si>
  <si>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</si>
  <si>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</si>
  <si>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</si>
  <si>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</si>
  <si>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</si>
  <si>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</si>
  <si>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</si>
  <si>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</si>
  <si>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</si>
  <si>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</si>
  <si>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</si>
  <si>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</si>
  <si>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</si>
  <si>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</si>
  <si>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</si>
  <si>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</si>
  <si>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</si>
  <si>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</si>
  <si>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</si>
  <si>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</si>
  <si>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</si>
  <si>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</si>
  <si>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</si>
  <si>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</si>
  <si>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</si>
  <si>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</si>
  <si>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</si>
  <si>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</si>
  <si>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</si>
  <si>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</si>
  <si>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</si>
  <si>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</si>
  <si>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</si>
  <si>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</si>
  <si>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</si>
  <si>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</si>
  <si>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</si>
  <si>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</si>
  <si>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</si>
  <si>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</si>
  <si>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</si>
  <si>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</si>
  <si>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</si>
  <si>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</si>
  <si>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</si>
  <si>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</si>
  <si>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</si>
  <si>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</si>
  <si>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</si>
  <si>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</si>
  <si>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</si>
  <si>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</si>
  <si>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</si>
  <si>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</si>
  <si>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</si>
  <si>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</si>
  <si>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</si>
  <si>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</si>
  <si>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</si>
  <si>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</si>
  <si>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</si>
  <si>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</si>
  <si>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</si>
  <si>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</si>
  <si>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</si>
  <si>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</si>
  <si>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</si>
  <si>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</si>
  <si>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</si>
  <si>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</si>
  <si>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</si>
  <si>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</si>
  <si>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</si>
  <si>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</si>
  <si>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</si>
  <si>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</si>
  <si>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</si>
  <si>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</si>
  <si>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</si>
  <si>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</si>
  <si>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</si>
  <si>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</si>
  <si>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</si>
  <si>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</si>
  <si>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</si>
  <si>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</si>
  <si>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</si>
  <si>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</si>
  <si>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</si>
  <si>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</si>
  <si>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</si>
  <si>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</si>
  <si>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</si>
  <si>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</si>
  <si>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</si>
  <si>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</si>
  <si>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</si>
  <si>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</si>
  <si>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</si>
  <si>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</si>
  <si>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</si>
  <si>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</si>
  <si>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</si>
  <si>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</si>
  <si>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</si>
  <si>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</si>
  <si>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</si>
  <si>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</si>
  <si>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</si>
  <si>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</si>
  <si>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</si>
  <si>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</si>
  <si>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</si>
  <si>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</si>
  <si>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</si>
  <si>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</si>
  <si>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</si>
  <si>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</si>
  <si>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</si>
  <si>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</si>
  <si>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</si>
  <si>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</si>
  <si>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</si>
  <si>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</si>
  <si>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</si>
  <si>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</si>
  <si>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</si>
  <si>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</si>
  <si>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</si>
  <si>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</si>
  <si>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</si>
  <si>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</si>
  <si>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</si>
  <si>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</si>
  <si>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</si>
  <si>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</si>
  <si>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</si>
  <si>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</si>
  <si>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</si>
  <si>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</si>
  <si>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</si>
  <si>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</si>
  <si>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</si>
  <si>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</si>
  <si>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</si>
  <si>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</si>
  <si>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</si>
  <si>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</si>
  <si>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</si>
  <si>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</si>
  <si>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</si>
  <si>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</si>
  <si>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</si>
  <si>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</si>
  <si>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</si>
  <si>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</si>
  <si>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</si>
  <si>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</si>
  <si>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</si>
  <si>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</si>
  <si>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</si>
  <si>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</si>
  <si>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</si>
  <si>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</si>
  <si>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</si>
  <si>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</si>
  <si>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</si>
  <si>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</si>
  <si>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</si>
  <si>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</si>
  <si>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</si>
  <si>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</si>
  <si>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</si>
  <si>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</si>
  <si>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</si>
  <si>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</si>
  <si>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</si>
  <si>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</si>
  <si>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</si>
  <si>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</si>
  <si>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</si>
  <si>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</si>
  <si>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</si>
  <si>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</si>
  <si>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</si>
  <si>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</si>
  <si>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</si>
  <si>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</si>
  <si>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</si>
  <si>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</si>
  <si>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</si>
  <si>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</si>
  <si>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</si>
  <si>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</si>
  <si>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</si>
  <si>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</si>
  <si>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</si>
  <si>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</si>
  <si>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</si>
  <si>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</si>
  <si>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</si>
  <si>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</si>
  <si>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</si>
  <si>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</si>
  <si>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</si>
  <si>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</si>
  <si>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</si>
  <si>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</si>
  <si>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</si>
  <si>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</si>
  <si>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</si>
  <si>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</si>
  <si>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</si>
  <si>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</si>
  <si>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</si>
  <si>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</si>
  <si>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</si>
  <si>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</si>
  <si>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</si>
  <si>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</si>
  <si>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</si>
  <si>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</si>
  <si>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</si>
  <si>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</si>
  <si>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</si>
  <si>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</si>
  <si>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</si>
  <si>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</si>
  <si>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</si>
  <si>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</si>
  <si>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</si>
  <si>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</si>
  <si>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</si>
  <si>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</si>
  <si>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</si>
  <si>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</si>
  <si>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</si>
  <si>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</si>
  <si>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</si>
  <si>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</si>
  <si>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</si>
  <si>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</si>
  <si>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</si>
  <si>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</si>
  <si>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</si>
  <si>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</si>
  <si>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</si>
  <si>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</si>
  <si>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</si>
  <si>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</si>
  <si>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</si>
  <si>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</si>
  <si>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</si>
  <si>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</si>
  <si>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</si>
  <si>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</si>
  <si>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</si>
  <si>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</si>
  <si>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</si>
  <si>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</si>
  <si>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</si>
  <si>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</si>
  <si>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</si>
  <si>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</si>
  <si>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</si>
  <si>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</si>
  <si>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</si>
  <si>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</si>
  <si>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</si>
  <si>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</si>
  <si>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</si>
  <si>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</si>
  <si>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</si>
  <si>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</si>
  <si>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</si>
  <si>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</si>
  <si>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</si>
  <si>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</si>
  <si>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</si>
  <si>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</si>
  <si>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</si>
  <si>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</si>
  <si>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</si>
  <si>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</si>
  <si>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</si>
  <si>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</si>
  <si>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</si>
  <si>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</si>
  <si>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</si>
  <si>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</si>
  <si>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</si>
  <si>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</si>
  <si>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</si>
  <si>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</si>
  <si>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</si>
  <si>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</si>
  <si>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</si>
  <si>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</si>
  <si>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</si>
  <si>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</si>
  <si>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</si>
  <si>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</si>
  <si>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</si>
  <si>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</si>
  <si>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</si>
  <si>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</si>
  <si>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</si>
  <si>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</si>
  <si>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</si>
  <si>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</si>
  <si>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</si>
  <si>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</si>
  <si>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</si>
  <si>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</si>
  <si>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</si>
  <si>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</si>
  <si>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</si>
  <si>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</si>
  <si>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</si>
  <si>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</si>
  <si>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</si>
  <si>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</si>
  <si>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</si>
  <si>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</si>
  <si>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</si>
  <si>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</si>
  <si>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</si>
  <si>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</si>
  <si>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</si>
  <si>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</si>
  <si>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</si>
  <si>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</si>
  <si>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</si>
  <si>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</si>
  <si>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</si>
  <si>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</si>
  <si>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</si>
  <si>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</si>
  <si>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</si>
  <si>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</si>
  <si>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</si>
  <si>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</si>
  <si>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</si>
  <si>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</si>
  <si>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</si>
  <si>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</si>
  <si>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</si>
  <si>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</si>
  <si>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</si>
  <si>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</si>
  <si>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</si>
  <si>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</si>
  <si>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</si>
  <si>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</si>
  <si>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</si>
  <si>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</si>
  <si>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</si>
  <si>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</si>
  <si>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</si>
  <si>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</si>
  <si>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</si>
  <si>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</si>
  <si>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</si>
  <si>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</si>
  <si>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</si>
  <si>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</si>
  <si>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</si>
  <si>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</si>
  <si>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</si>
  <si>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</si>
  <si>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</si>
  <si>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</si>
  <si>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</si>
  <si>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</si>
  <si>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</si>
  <si>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</si>
  <si>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</si>
  <si>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</si>
  <si>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</si>
  <si>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</si>
  <si>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</si>
  <si>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</si>
  <si>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</si>
  <si>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</si>
  <si>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</si>
  <si>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</si>
  <si>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</si>
  <si>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</si>
  <si>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</si>
  <si>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</si>
  <si>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</si>
  <si>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</si>
  <si>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</si>
  <si>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</si>
  <si>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</si>
  <si>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</si>
  <si>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</si>
  <si>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</si>
  <si>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</si>
  <si>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</si>
  <si>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</si>
  <si>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</si>
  <si>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</si>
  <si>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</si>
  <si>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</si>
  <si>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</si>
  <si>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</si>
  <si>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</si>
  <si>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</si>
  <si>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</si>
  <si>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</si>
  <si>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</si>
  <si>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</si>
  <si>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</si>
  <si>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</si>
  <si>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</si>
  <si>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</si>
  <si>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</si>
  <si>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</si>
  <si>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</si>
  <si>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</si>
  <si>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</si>
  <si>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</si>
  <si>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</si>
  <si>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</si>
  <si>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</si>
  <si>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</si>
  <si>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</si>
  <si>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</si>
  <si>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</si>
  <si>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</si>
  <si>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</si>
  <si>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</si>
  <si>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</si>
  <si>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</si>
  <si>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</si>
  <si>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</si>
  <si>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</si>
  <si>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</si>
  <si>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</si>
  <si>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</si>
  <si>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</si>
  <si>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</si>
  <si>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</si>
  <si>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</si>
  <si>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</si>
  <si>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</si>
  <si>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</si>
  <si>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</si>
  <si>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</si>
  <si>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</si>
  <si>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</si>
  <si>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</si>
  <si>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</si>
  <si>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</si>
  <si>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</si>
  <si>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</si>
  <si>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</si>
  <si>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</si>
  <si>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</si>
  <si>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</si>
  <si>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</si>
  <si>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</si>
  <si>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</si>
  <si>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</si>
  <si>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</si>
  <si>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</si>
  <si>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</si>
  <si>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</si>
  <si>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</si>
  <si>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</si>
  <si>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</si>
  <si>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</si>
  <si>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</si>
  <si>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</si>
  <si>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</si>
  <si>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</si>
  <si>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</si>
  <si>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</si>
  <si>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</si>
  <si>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</si>
  <si>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</si>
  <si>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</si>
  <si>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</si>
  <si>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</si>
  <si>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</si>
  <si>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</si>
  <si>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</si>
  <si>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</si>
  <si>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</si>
  <si>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</si>
  <si>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</si>
  <si>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</si>
  <si>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</si>
  <si>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</si>
  <si>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</si>
  <si>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</si>
  <si>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</si>
  <si>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</si>
  <si>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</si>
  <si>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</si>
  <si>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</si>
  <si>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</si>
  <si>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</si>
  <si>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</si>
  <si>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</si>
  <si>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</si>
  <si>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</si>
  <si>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</si>
  <si>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</si>
  <si>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</si>
  <si>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</si>
  <si>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</si>
  <si>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</si>
  <si>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</si>
  <si>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</si>
  <si>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</si>
  <si>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</si>
  <si>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</si>
  <si>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</si>
  <si>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</si>
  <si>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</si>
  <si>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</si>
  <si>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</si>
  <si>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</si>
  <si>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</si>
  <si>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</si>
  <si>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</si>
  <si>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</si>
  <si>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</si>
  <si>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</si>
  <si>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</si>
  <si>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</si>
  <si>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</si>
  <si>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</si>
  <si>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</si>
  <si>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</si>
  <si>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</si>
  <si>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</si>
  <si>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</si>
  <si>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</si>
  <si>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</si>
  <si>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</si>
  <si>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</si>
  <si>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</si>
  <si>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</si>
  <si>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</si>
  <si>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</si>
  <si>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</si>
  <si>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</si>
  <si>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</si>
  <si>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</si>
  <si>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</si>
  <si>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</si>
  <si>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</si>
  <si>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</si>
  <si>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</si>
  <si>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</si>
  <si>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</si>
  <si>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</si>
  <si>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</si>
  <si>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</si>
  <si>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</si>
  <si>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</si>
  <si>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</si>
  <si>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</si>
  <si>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</si>
  <si>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</si>
  <si>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</si>
  <si>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</si>
  <si>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</si>
  <si>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</si>
  <si>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</si>
  <si>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</si>
  <si>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</si>
  <si>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</si>
  <si>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</si>
  <si>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</si>
  <si>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</si>
  <si>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</si>
  <si>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</si>
  <si>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</si>
  <si>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</si>
  <si>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</si>
  <si>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</si>
  <si>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</si>
  <si>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</si>
  <si>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</si>
  <si>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</si>
  <si>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</si>
  <si>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</si>
  <si>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</si>
  <si>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</si>
  <si>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</si>
  <si>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</si>
  <si>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</si>
  <si>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</si>
  <si>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</si>
  <si>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</si>
  <si>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</si>
  <si>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</si>
  <si>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</si>
  <si>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</si>
  <si>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</si>
  <si>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</si>
  <si>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</si>
  <si>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</si>
  <si>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</si>
  <si>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</si>
  <si>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</si>
  <si>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</si>
  <si>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</si>
  <si>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</si>
  <si>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</si>
  <si>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</si>
  <si>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</si>
  <si>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</si>
  <si>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</si>
  <si>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</si>
  <si>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</si>
  <si>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</si>
  <si>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</si>
  <si>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</si>
  <si>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</si>
  <si>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</si>
  <si>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</si>
  <si>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</si>
  <si>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</si>
  <si>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</si>
  <si>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</si>
  <si>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</si>
  <si>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</si>
  <si>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</si>
  <si>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</si>
  <si>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</si>
  <si>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</si>
  <si>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</si>
  <si>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</si>
  <si>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</si>
  <si>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</si>
  <si>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</si>
  <si>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</si>
  <si>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</si>
  <si>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</si>
  <si>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</si>
  <si>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</si>
  <si>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</si>
  <si>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</si>
  <si>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</si>
  <si>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</si>
  <si>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</si>
  <si>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</si>
  <si>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</si>
  <si>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</si>
  <si>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</si>
  <si>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</si>
  <si>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</si>
  <si>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</si>
  <si>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</si>
  <si>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</si>
  <si>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</si>
  <si>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</si>
  <si>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</si>
  <si>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</si>
  <si>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</si>
  <si>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</si>
  <si>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</si>
  <si>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</si>
  <si>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</si>
  <si>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</si>
  <si>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</si>
  <si>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</si>
  <si>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</si>
  <si>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</si>
  <si>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</si>
  <si>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</si>
  <si>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</si>
  <si>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</si>
  <si>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</si>
  <si>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</si>
  <si>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</si>
  <si>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</si>
  <si>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</si>
  <si>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</si>
  <si>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</si>
  <si>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</si>
  <si>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</si>
  <si>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</si>
  <si>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</si>
  <si>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</si>
  <si>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</si>
  <si>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</si>
  <si>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</si>
  <si>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</si>
  <si>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</si>
  <si>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</si>
  <si>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</si>
  <si>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</si>
  <si>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</si>
  <si>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</si>
  <si>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</si>
  <si>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</si>
  <si>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</si>
  <si>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</si>
  <si>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</si>
  <si>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</si>
  <si>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</si>
  <si>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</si>
  <si>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</si>
  <si>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</si>
  <si>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</si>
  <si>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</si>
  <si>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</si>
  <si>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</si>
  <si>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</si>
  <si>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</si>
  <si>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</si>
  <si>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</si>
  <si>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</si>
  <si>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</si>
  <si>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</si>
  <si>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</si>
  <si>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</si>
  <si>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</si>
  <si>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</si>
  <si>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</si>
  <si>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</si>
  <si>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</si>
  <si>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</si>
  <si>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</si>
  <si>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</si>
  <si>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</si>
  <si>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</si>
  <si>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</si>
  <si>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</si>
  <si>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</si>
  <si>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</si>
  <si>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</si>
  <si>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</si>
  <si>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</si>
  <si>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</si>
  <si>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</si>
  <si>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</si>
  <si>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</si>
  <si>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</si>
  <si>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</si>
  <si>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</si>
  <si>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</si>
  <si>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</si>
  <si>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</si>
  <si>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</si>
  <si>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</si>
  <si>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</si>
  <si>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</si>
  <si>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</si>
  <si>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</si>
  <si>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</si>
  <si>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</si>
  <si>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</si>
  <si>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</si>
  <si>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</si>
  <si>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</si>
  <si>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</si>
  <si>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</si>
  <si>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</si>
  <si>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</si>
  <si>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</si>
  <si>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</si>
  <si>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</si>
  <si>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</si>
  <si>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</si>
  <si>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</si>
  <si>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</si>
  <si>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</si>
  <si>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</si>
  <si>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</si>
  <si>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</si>
  <si>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</si>
  <si>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</si>
  <si>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</si>
  <si>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</si>
  <si>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</si>
  <si>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</si>
  <si>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</si>
  <si>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</si>
  <si>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</si>
  <si>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</si>
  <si>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</si>
  <si>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</si>
  <si>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</si>
  <si>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</si>
  <si>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</si>
  <si>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</si>
  <si>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</si>
  <si>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</si>
  <si>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</si>
  <si>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</si>
  <si>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</si>
  <si>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</si>
  <si>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</si>
  <si>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</si>
  <si>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</si>
  <si>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</si>
  <si>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</si>
  <si>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</si>
  <si>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</si>
  <si>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</si>
  <si>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</si>
  <si>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</si>
  <si>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</si>
  <si>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</si>
  <si>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</si>
  <si>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</si>
  <si>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</si>
  <si>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</si>
  <si>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</si>
  <si>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</si>
  <si>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</si>
  <si>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</si>
  <si>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</si>
  <si>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</si>
  <si>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</si>
  <si>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</si>
  <si>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</si>
  <si>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</si>
  <si>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</si>
  <si>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</si>
  <si>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</si>
  <si>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</si>
  <si>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</si>
  <si>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</si>
  <si>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</si>
  <si>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</si>
  <si>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</si>
  <si>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</si>
  <si>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</si>
  <si>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</si>
  <si>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</si>
  <si>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</si>
  <si>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</si>
  <si>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</si>
  <si>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</si>
  <si>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</si>
  <si>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</si>
  <si>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</si>
  <si>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</si>
  <si>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</si>
  <si>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</si>
  <si>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</si>
  <si>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</si>
  <si>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</si>
  <si>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</si>
  <si>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</si>
  <si>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</si>
  <si>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</si>
  <si>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</si>
  <si>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</si>
  <si>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</si>
  <si>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</si>
  <si>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</si>
  <si>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</si>
  <si>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</si>
  <si>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</si>
  <si>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</si>
  <si>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</si>
  <si>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</si>
  <si>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</si>
  <si>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</si>
  <si>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</si>
  <si>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</si>
  <si>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</si>
  <si>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</si>
  <si>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</si>
  <si>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</si>
  <si>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</si>
  <si>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</si>
  <si>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</si>
  <si>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</si>
  <si>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</si>
  <si>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</si>
  <si>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</si>
  <si>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</si>
  <si>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</si>
  <si>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</si>
  <si>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</si>
  <si>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</si>
  <si>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</si>
  <si>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</si>
  <si>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</si>
  <si>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</si>
  <si>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</si>
  <si>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</si>
  <si>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</si>
  <si>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</si>
  <si>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</si>
  <si>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</si>
  <si>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</si>
  <si>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</si>
  <si>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</si>
  <si>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</si>
  <si>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</si>
  <si>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</si>
  <si>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</si>
  <si>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</si>
  <si>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</si>
  <si>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</si>
  <si>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</si>
  <si>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</si>
  <si>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</si>
  <si>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</si>
  <si>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</si>
  <si>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</si>
  <si>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</si>
  <si>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</si>
  <si>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</si>
  <si>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</si>
  <si>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</si>
  <si>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</si>
  <si>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</si>
  <si>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</si>
  <si>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</si>
  <si>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</si>
  <si>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</si>
  <si>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</si>
  <si>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</si>
  <si>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</si>
  <si>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</si>
  <si>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</si>
  <si>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</si>
  <si>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</si>
  <si>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</si>
  <si>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</si>
  <si>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</si>
  <si>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</si>
  <si>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</si>
  <si>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</si>
  <si>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</si>
  <si>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</si>
  <si>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</si>
  <si>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</si>
  <si>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</si>
  <si>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</si>
  <si>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</si>
  <si>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</si>
  <si>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</si>
  <si>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</si>
  <si>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</si>
  <si>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</si>
  <si>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</si>
  <si>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</si>
  <si>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</si>
  <si>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</si>
  <si>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</si>
  <si>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</si>
  <si>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</si>
  <si>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</si>
  <si>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</si>
  <si>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</si>
  <si>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</si>
  <si>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</si>
  <si>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</si>
  <si>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</si>
  <si>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</si>
  <si>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</si>
  <si>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</si>
  <si>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</si>
  <si>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</si>
  <si>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</si>
  <si>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</si>
  <si>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</si>
  <si>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</si>
  <si>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</si>
  <si>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</si>
  <si>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</si>
  <si>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</si>
  <si>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</si>
  <si>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</si>
  <si>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</si>
  <si>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</si>
  <si>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</si>
  <si>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</si>
  <si>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</si>
  <si>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</si>
  <si>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</si>
  <si>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</si>
  <si>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</si>
  <si>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</si>
  <si>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</si>
  <si>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</si>
  <si>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</si>
  <si>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</si>
  <si>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</si>
  <si>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</si>
  <si>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</si>
  <si>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</si>
  <si>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</si>
  <si>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</si>
  <si>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</si>
  <si>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</si>
  <si>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</si>
  <si>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</si>
  <si>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</si>
  <si>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</si>
  <si>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</si>
  <si>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</si>
  <si>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</si>
  <si>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</si>
  <si>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</si>
  <si>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</si>
  <si>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</si>
  <si>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</si>
  <si>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</si>
  <si>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</si>
  <si>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</si>
  <si>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</si>
  <si>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</si>
  <si>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</si>
  <si>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</si>
  <si>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</si>
  <si>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</si>
  <si>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</si>
  <si>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</si>
  <si>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</si>
  <si>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</si>
  <si>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</si>
  <si>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</si>
  <si>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</si>
  <si>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</si>
  <si>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</si>
  <si>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</si>
  <si>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</si>
  <si>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</si>
  <si>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</si>
  <si>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</si>
  <si>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</si>
  <si>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</si>
  <si>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</si>
  <si>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</si>
  <si>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</si>
  <si>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</si>
  <si>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</si>
  <si>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</si>
  <si>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</si>
  <si>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</si>
  <si>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</si>
  <si>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</si>
  <si>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</si>
  <si>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</si>
  <si>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</si>
  <si>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</si>
  <si>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</si>
  <si>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</si>
  <si>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</si>
  <si>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</si>
  <si>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</si>
  <si>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</si>
  <si>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</si>
  <si>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</si>
  <si>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</si>
  <si>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</si>
  <si>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</si>
  <si>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</si>
  <si>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</si>
  <si>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</si>
  <si>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</si>
  <si>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</si>
  <si>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</si>
  <si>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</si>
  <si>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</si>
  <si>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</si>
  <si>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</si>
  <si>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</si>
  <si>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</si>
  <si>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</si>
  <si>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</si>
  <si>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</si>
  <si>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</si>
  <si>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</si>
  <si>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</si>
  <si>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</si>
  <si>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</si>
  <si>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</si>
  <si>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</si>
  <si>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</si>
  <si>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</si>
  <si>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</si>
  <si>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</si>
  <si>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</si>
  <si>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</si>
  <si>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</si>
  <si>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</si>
  <si>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</si>
  <si>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</si>
  <si>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</si>
  <si>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</si>
  <si>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</si>
  <si>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</si>
  <si>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</si>
  <si>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</si>
  <si>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</si>
  <si>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</si>
  <si>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</si>
  <si>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</si>
  <si>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</si>
  <si>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</si>
  <si>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</si>
  <si>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</si>
  <si>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</si>
  <si>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</si>
  <si>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</si>
  <si>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</si>
  <si>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</si>
  <si>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</si>
  <si>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</si>
  <si>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</si>
  <si>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</si>
  <si>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</si>
  <si>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</si>
  <si>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</si>
  <si>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</si>
  <si>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</si>
  <si>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</si>
  <si>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</si>
  <si>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</si>
  <si>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</si>
  <si>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</si>
  <si>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</si>
  <si>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</si>
  <si>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</si>
  <si>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</si>
  <si>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</si>
  <si>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</si>
  <si>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</si>
  <si>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</si>
  <si>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</si>
  <si>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</si>
  <si>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</si>
  <si>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</si>
  <si>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</si>
  <si>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</si>
  <si>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</si>
  <si>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</si>
  <si>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</si>
  <si>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</si>
  <si>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</si>
  <si>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</si>
  <si>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</si>
  <si>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</si>
  <si>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</si>
  <si>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</si>
  <si>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</si>
  <si>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</si>
  <si>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</si>
  <si>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</si>
  <si>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</si>
  <si>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</si>
  <si>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</si>
  <si>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</si>
  <si>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</si>
  <si>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</si>
  <si>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</si>
  <si>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</si>
  <si>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</si>
  <si>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</si>
  <si>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</si>
  <si>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</si>
  <si>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</si>
  <si>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</si>
  <si>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</si>
  <si>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</si>
  <si>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</si>
  <si>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</si>
  <si>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</si>
  <si>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</si>
  <si>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</si>
  <si>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</si>
  <si>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</si>
  <si>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</si>
  <si>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</si>
  <si>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</si>
  <si>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</si>
  <si>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</si>
  <si>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</si>
  <si>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</si>
  <si>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</si>
  <si>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</si>
  <si>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</si>
  <si>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</si>
  <si>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</si>
  <si>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</si>
  <si>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</si>
  <si>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</si>
  <si>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</si>
  <si>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</si>
  <si>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</si>
  <si>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</si>
  <si>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</si>
  <si>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</si>
  <si>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</si>
  <si>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</si>
  <si>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</si>
  <si>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</si>
  <si>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</si>
  <si>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</si>
  <si>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</si>
  <si>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</si>
  <si>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</si>
  <si>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</si>
  <si>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</si>
  <si>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</si>
  <si>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</si>
  <si>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</si>
  <si>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</si>
  <si>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</si>
  <si>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</si>
  <si>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</si>
  <si>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</si>
  <si>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</si>
  <si>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</si>
  <si>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</si>
  <si>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</si>
  <si>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</si>
  <si>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</si>
  <si>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</si>
  <si>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</si>
  <si>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</si>
  <si>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</si>
  <si>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</si>
  <si>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</si>
  <si>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</si>
  <si>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</si>
  <si>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</si>
  <si>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</si>
  <si>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</si>
  <si>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</si>
  <si>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</si>
  <si>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</si>
  <si>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</si>
  <si>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</si>
  <si>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</si>
  <si>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</si>
  <si>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</si>
  <si>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</si>
  <si>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</si>
  <si>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</si>
  <si>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</si>
  <si>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</si>
  <si>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</si>
  <si>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</si>
  <si>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</si>
  <si>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</si>
  <si>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</si>
  <si>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</si>
  <si>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</si>
  <si>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</si>
  <si>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</si>
  <si>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</si>
  <si>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</si>
  <si>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</si>
  <si>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</si>
  <si>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</si>
  <si>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</si>
  <si>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</si>
  <si>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</si>
  <si>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</si>
  <si>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</si>
  <si>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</si>
  <si>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</si>
  <si>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</si>
  <si>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</si>
  <si>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</si>
  <si>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</si>
  <si>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</si>
  <si>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</si>
  <si>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</si>
  <si>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</si>
  <si>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</si>
  <si>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</si>
  <si>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</si>
  <si>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</si>
  <si>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</si>
  <si>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</si>
  <si>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</si>
  <si>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</si>
  <si>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</si>
  <si>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</si>
  <si>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</si>
  <si>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</si>
  <si>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</si>
  <si>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</si>
  <si>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</si>
  <si>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</si>
  <si>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</si>
  <si>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</si>
  <si>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</si>
  <si>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</si>
  <si>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</si>
  <si>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</si>
  <si>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</si>
  <si>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</si>
  <si>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</si>
  <si>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</si>
  <si>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</si>
  <si>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</si>
  <si>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</si>
  <si>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</si>
  <si>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</si>
  <si>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</si>
  <si>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</si>
  <si>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</si>
  <si>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</si>
  <si>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</si>
  <si>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</si>
  <si>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</si>
  <si>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</si>
  <si>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</si>
  <si>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</si>
  <si>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</si>
  <si>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</si>
  <si>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</si>
  <si>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</si>
  <si>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</si>
  <si>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</si>
  <si>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</si>
  <si>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</si>
  <si>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</si>
  <si>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</si>
  <si>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</si>
  <si>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</si>
  <si>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</si>
  <si>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</si>
  <si>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</si>
  <si>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</si>
  <si>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</si>
  <si>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</si>
  <si>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</si>
  <si>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</si>
  <si>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</si>
  <si>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</si>
  <si>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</si>
  <si>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</si>
  <si>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</si>
  <si>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</si>
  <si>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</si>
  <si>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</si>
  <si>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</si>
  <si>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</si>
  <si>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</si>
  <si>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</si>
  <si>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</si>
  <si>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</si>
  <si>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</si>
  <si>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</si>
  <si>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</si>
  <si>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</si>
  <si>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</si>
  <si>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</si>
  <si>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</si>
  <si>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</si>
  <si>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</si>
  <si>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</si>
  <si>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</si>
  <si>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</si>
  <si>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</si>
  <si>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</si>
  <si>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</si>
  <si>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</si>
  <si>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</si>
  <si>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</si>
  <si>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</si>
  <si>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</si>
  <si>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</si>
  <si>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</si>
  <si>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</si>
  <si>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</si>
  <si>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</si>
  <si>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</si>
  <si>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</si>
  <si>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</si>
  <si>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</si>
  <si>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</si>
  <si>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</si>
  <si>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</si>
  <si>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</si>
  <si>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</si>
  <si>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</si>
  <si>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</si>
  <si>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</si>
  <si>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</si>
  <si>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</si>
  <si>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</si>
  <si>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</si>
  <si>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</si>
  <si>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</si>
  <si>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</si>
  <si>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</si>
  <si>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</si>
  <si>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</si>
  <si>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</si>
  <si>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</si>
  <si>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</si>
  <si>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</si>
  <si>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</si>
  <si>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</si>
  <si>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</si>
  <si>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</si>
  <si>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</si>
  <si>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</si>
  <si>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</si>
  <si>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</si>
  <si>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</si>
  <si>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</si>
  <si>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</si>
  <si>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</si>
  <si>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</si>
  <si>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</si>
  <si>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</si>
  <si>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</si>
  <si>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</si>
  <si>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</si>
  <si>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</si>
  <si>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</si>
  <si>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</si>
  <si>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</si>
  <si>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</si>
  <si>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</si>
  <si>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</si>
  <si>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</si>
  <si>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</si>
  <si>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</si>
  <si>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</si>
  <si>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</si>
  <si>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</si>
  <si>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</si>
  <si>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</si>
  <si>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</si>
  <si>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</si>
  <si>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</si>
  <si>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</si>
  <si>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</si>
  <si>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</si>
  <si>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</si>
  <si>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</si>
  <si>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</si>
  <si>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</si>
  <si>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</si>
  <si>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</si>
  <si>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</si>
  <si>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</si>
  <si>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</si>
  <si>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</si>
  <si>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</si>
  <si>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</si>
  <si>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</si>
  <si>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</si>
  <si>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</si>
  <si>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</si>
  <si>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</si>
  <si>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</si>
  <si>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</si>
  <si>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</si>
  <si>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</si>
  <si>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</si>
  <si>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</si>
  <si>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</si>
  <si>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</si>
  <si>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</si>
  <si>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</si>
  <si>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</si>
  <si>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</si>
  <si>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</si>
  <si>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</si>
  <si>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</si>
  <si>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</si>
  <si>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</si>
  <si>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</si>
  <si>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</si>
  <si>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</si>
  <si>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</si>
  <si>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</si>
  <si>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</si>
  <si>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</si>
  <si>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</si>
  <si>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</si>
  <si>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</si>
  <si>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</si>
  <si>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</si>
  <si>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</si>
  <si>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</si>
  <si>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</si>
  <si>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</si>
  <si>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</si>
  <si>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</si>
  <si>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</si>
  <si>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</si>
  <si>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</si>
  <si>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</si>
  <si>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</si>
  <si>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</si>
  <si>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</si>
  <si>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</si>
  <si>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</si>
  <si>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</si>
  <si>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</si>
  <si>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</si>
  <si>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</si>
  <si>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</si>
  <si>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</si>
  <si>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</si>
  <si>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</si>
  <si>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</si>
  <si>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</si>
  <si>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</si>
  <si>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</si>
  <si>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</si>
  <si>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</si>
  <si>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</si>
  <si>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</si>
  <si>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</si>
  <si>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</si>
  <si>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</si>
  <si>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</si>
  <si>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</si>
  <si>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</si>
  <si>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</si>
  <si>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</si>
  <si>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</si>
  <si>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</si>
  <si>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</si>
  <si>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</si>
  <si>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</si>
  <si>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</si>
  <si>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</si>
  <si>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</si>
  <si>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</si>
  <si>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</si>
  <si>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</si>
  <si>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</si>
  <si>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</si>
  <si>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</si>
  <si>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</si>
  <si>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</si>
  <si>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</si>
  <si>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</si>
  <si>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</si>
  <si>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</si>
  <si>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</si>
  <si>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</si>
  <si>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</si>
  <si>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</si>
  <si>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</si>
  <si>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</si>
  <si>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</si>
  <si>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</si>
  <si>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</si>
  <si>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</si>
  <si>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</si>
  <si>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</si>
  <si>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</si>
  <si>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</si>
  <si>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</si>
  <si>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</si>
  <si>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</si>
  <si>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</si>
  <si>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</si>
  <si>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</si>
  <si>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</si>
  <si>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</si>
  <si>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</si>
  <si>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</si>
  <si>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</si>
  <si>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</si>
  <si>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</si>
  <si>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</si>
  <si>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</si>
  <si>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</si>
  <si>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</si>
  <si>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</si>
  <si>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</si>
  <si>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</si>
  <si>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</si>
  <si>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</si>
  <si>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</si>
  <si>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</si>
  <si>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</si>
  <si>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</si>
  <si>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</si>
  <si>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</si>
  <si>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</si>
  <si>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</si>
  <si>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</si>
  <si>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</si>
  <si>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</si>
  <si>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</si>
  <si>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</si>
  <si>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</si>
  <si>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</si>
  <si>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</si>
  <si>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</si>
  <si>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</si>
  <si>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</si>
  <si>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</si>
  <si>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</si>
  <si>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</si>
  <si>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</si>
  <si>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</si>
  <si>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</si>
  <si>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</si>
  <si>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</si>
  <si>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</si>
  <si>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</si>
  <si>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</si>
  <si>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</si>
  <si>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</si>
  <si>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</si>
  <si>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</si>
  <si>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</si>
  <si>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</si>
  <si>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</si>
  <si>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</si>
  <si>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</si>
  <si>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</si>
  <si>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</si>
  <si>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</si>
  <si>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</si>
  <si>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</si>
  <si>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</si>
  <si>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</si>
  <si>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</si>
  <si>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</si>
  <si>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</si>
  <si>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</si>
  <si>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</si>
  <si>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</si>
  <si>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</si>
  <si>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</si>
  <si>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</si>
  <si>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</si>
  <si>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</si>
  <si>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</si>
  <si>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</si>
  <si>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</si>
  <si>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</si>
  <si>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</si>
  <si>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</si>
  <si>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</si>
  <si>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</si>
  <si>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</si>
  <si>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</si>
  <si>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</si>
  <si>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</si>
  <si>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</si>
  <si>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</si>
  <si>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</si>
  <si>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</si>
  <si>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</si>
  <si>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</si>
  <si>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</si>
  <si>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</si>
  <si>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</si>
  <si>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</si>
  <si>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</si>
  <si>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</si>
  <si>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</si>
  <si>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</si>
  <si>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</si>
  <si>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</si>
  <si>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</si>
  <si>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</si>
  <si>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</si>
  <si>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</si>
  <si>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</si>
  <si>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</si>
  <si>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</si>
  <si>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</si>
  <si>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</si>
  <si>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</si>
  <si>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</si>
  <si>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</si>
  <si>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</si>
  <si>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</si>
  <si>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</si>
  <si>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</si>
  <si>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</si>
  <si>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</si>
  <si>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</si>
  <si>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</si>
  <si>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</si>
  <si>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</si>
  <si>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</si>
  <si>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</si>
  <si>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</si>
  <si>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</si>
  <si>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</si>
  <si>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</si>
  <si>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</si>
  <si>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</si>
  <si>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</si>
  <si>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</si>
  <si>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</si>
  <si>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</si>
  <si>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</si>
  <si>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</si>
  <si>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</si>
  <si>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</si>
  <si>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</si>
  <si>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</si>
  <si>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</si>
  <si>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</si>
  <si>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</si>
  <si>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</si>
  <si>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</si>
  <si>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</si>
  <si>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</si>
  <si>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</si>
  <si>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</si>
  <si>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</si>
  <si>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</si>
  <si>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</si>
  <si>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</si>
  <si>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</si>
  <si>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</si>
  <si>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</si>
  <si>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</si>
  <si>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</si>
  <si>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</si>
  <si>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</si>
  <si>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</si>
  <si>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</si>
  <si>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</si>
  <si>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</si>
  <si>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</si>
  <si>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</si>
  <si>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</si>
  <si>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</si>
  <si>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</si>
  <si>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</si>
  <si>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</si>
  <si>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</si>
  <si>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</si>
  <si>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</si>
  <si>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</si>
  <si>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</si>
  <si>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</si>
  <si>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</si>
  <si>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</si>
  <si>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</si>
  <si>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</si>
  <si>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</si>
  <si>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</si>
  <si>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</si>
  <si>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</si>
  <si>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</si>
  <si>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</si>
  <si>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</si>
  <si>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</si>
  <si>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</si>
  <si>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</si>
  <si>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</si>
  <si>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</si>
  <si>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</si>
  <si>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</si>
  <si>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</si>
  <si>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</si>
  <si>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</si>
  <si>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</si>
  <si>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</si>
  <si>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</si>
  <si>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</si>
  <si>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</si>
  <si>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</si>
  <si>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</si>
  <si>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</si>
  <si>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</si>
  <si>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</si>
  <si>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</si>
  <si>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</si>
  <si>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</si>
  <si>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</si>
  <si>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</si>
  <si>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</si>
  <si>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</si>
  <si>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</si>
  <si>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</si>
  <si>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</si>
  <si>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</si>
  <si>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</si>
  <si>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</si>
  <si>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</si>
  <si>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</si>
  <si>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</si>
  <si>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</si>
  <si>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</si>
  <si>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</si>
  <si>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</si>
  <si>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</si>
  <si>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</si>
  <si>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</si>
  <si>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</si>
  <si>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</si>
  <si>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</si>
  <si>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</si>
  <si>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</si>
  <si>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</si>
  <si>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</si>
  <si>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</si>
  <si>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</si>
  <si>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</si>
  <si>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</si>
  <si>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</si>
  <si>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</si>
  <si>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</si>
  <si>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</si>
  <si>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</si>
  <si>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</si>
  <si>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</si>
  <si>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</si>
  <si>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</si>
  <si>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</si>
  <si>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</si>
  <si>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</si>
  <si>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</si>
  <si>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</si>
  <si>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</si>
  <si>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</si>
  <si>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</si>
  <si>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</si>
  <si>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</si>
  <si>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</si>
  <si>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</si>
  <si>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</si>
  <si>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</si>
  <si>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</si>
  <si>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</si>
  <si>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</si>
  <si>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</si>
  <si>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</si>
  <si>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</si>
  <si>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</si>
  <si>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</si>
  <si>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</si>
  <si>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</si>
  <si>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</si>
  <si>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</si>
  <si>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</si>
  <si>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</si>
  <si>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</si>
  <si>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</si>
  <si>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</si>
  <si>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</si>
  <si>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</si>
  <si>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</si>
  <si>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</si>
  <si>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</si>
  <si>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</si>
  <si>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</si>
  <si>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</si>
  <si>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</si>
  <si>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</si>
  <si>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</si>
  <si>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</si>
  <si>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</si>
  <si>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</si>
  <si>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</si>
  <si>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</si>
  <si>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</si>
  <si>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</si>
  <si>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</si>
  <si>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</si>
  <si>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</si>
  <si>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</si>
  <si>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</si>
  <si>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</si>
  <si>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</si>
  <si>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</si>
  <si>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</si>
  <si>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</si>
  <si>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</si>
  <si>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</si>
  <si>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</si>
  <si>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</si>
  <si>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</si>
  <si>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</si>
  <si>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</si>
  <si>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</si>
  <si>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</si>
  <si>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</si>
  <si>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</si>
  <si>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</si>
  <si>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</si>
  <si>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</si>
  <si>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</si>
  <si>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</si>
  <si>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</si>
  <si>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</si>
  <si>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</si>
  <si>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</si>
  <si>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</si>
  <si>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</si>
  <si>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</si>
  <si>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</si>
  <si>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</si>
  <si>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</si>
  <si>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</si>
  <si>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</si>
  <si>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</si>
  <si>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</si>
  <si>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</si>
  <si>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</si>
  <si>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</si>
  <si>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</si>
  <si>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</si>
  <si>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</si>
  <si>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</si>
  <si>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</si>
  <si>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</si>
  <si>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</si>
  <si>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</si>
  <si>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</si>
  <si>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</si>
  <si>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</si>
  <si>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</si>
  <si>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</si>
  <si>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</si>
  <si>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</si>
  <si>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</si>
  <si>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</si>
  <si>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</si>
  <si>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</si>
  <si>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</si>
  <si>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</si>
  <si>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</si>
  <si>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</si>
  <si>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</si>
  <si>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</si>
  <si>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</si>
  <si>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</si>
  <si>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</si>
  <si>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</si>
  <si>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</si>
  <si>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</si>
  <si>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</si>
  <si>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</si>
  <si>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</si>
  <si>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</si>
  <si>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</si>
  <si>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</si>
  <si>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</si>
  <si>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</si>
  <si>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</si>
  <si>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</si>
  <si>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</si>
  <si>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</si>
  <si>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</si>
  <si>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</si>
  <si>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</si>
  <si>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</si>
  <si>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</si>
  <si>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</si>
  <si>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</si>
  <si>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</si>
  <si>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</si>
  <si>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</si>
  <si>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</si>
  <si>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</si>
  <si>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</si>
  <si>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</si>
  <si>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</si>
  <si>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</si>
  <si>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</si>
  <si>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</si>
  <si>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</si>
  <si>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</si>
  <si>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</si>
  <si>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</si>
  <si>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</si>
  <si>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</si>
  <si>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</si>
  <si>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</si>
  <si>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</si>
  <si>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</si>
  <si>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</si>
  <si>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</si>
  <si>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</si>
  <si>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</si>
  <si>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</si>
  <si>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</si>
  <si>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</si>
  <si>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</si>
  <si>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</si>
  <si>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</si>
  <si>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</si>
  <si>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</si>
  <si>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</si>
  <si>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</si>
  <si>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</si>
  <si>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</si>
  <si>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</si>
  <si>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</si>
  <si>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</si>
  <si>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</si>
  <si>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</si>
  <si>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</si>
  <si>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</si>
  <si>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</si>
  <si>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</si>
  <si>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</si>
  <si>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</si>
  <si>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</si>
  <si>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</si>
  <si>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</si>
  <si>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</si>
  <si>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</si>
  <si>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</si>
  <si>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</si>
  <si>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</si>
  <si>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</si>
  <si>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</si>
  <si>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</si>
  <si>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</si>
  <si>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</si>
  <si>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</si>
  <si>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</si>
  <si>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</si>
  <si>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</si>
  <si>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</si>
  <si>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</si>
  <si>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</si>
  <si>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</si>
  <si>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</si>
  <si>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</si>
  <si>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</si>
  <si>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</si>
  <si>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</si>
  <si>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</si>
  <si>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</si>
  <si>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</si>
  <si>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</si>
  <si>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</si>
  <si>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</si>
  <si>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</si>
  <si>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</si>
  <si>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</si>
  <si>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</si>
  <si>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</si>
  <si>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</si>
  <si>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</si>
  <si>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</si>
  <si>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</si>
  <si>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</si>
  <si>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</si>
  <si>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</si>
  <si>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</si>
  <si>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</si>
  <si>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</si>
  <si>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</si>
  <si>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</si>
  <si>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</si>
  <si>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</si>
  <si>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</si>
  <si>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</si>
  <si>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</si>
  <si>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</si>
  <si>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</si>
  <si>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</si>
  <si>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</si>
  <si>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</si>
  <si>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</si>
  <si>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</si>
  <si>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</si>
  <si>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</si>
  <si>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</si>
  <si>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</si>
  <si>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</si>
  <si>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</si>
  <si>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</si>
  <si>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</si>
  <si>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</si>
  <si>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</si>
  <si>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</si>
  <si>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</si>
  <si>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</si>
  <si>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</si>
  <si>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</si>
  <si>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</si>
  <si>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</si>
  <si>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</si>
  <si>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</si>
  <si>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</si>
  <si>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</si>
  <si>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</si>
  <si>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</si>
  <si>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</si>
  <si>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</si>
  <si>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</si>
  <si>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</si>
  <si>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</si>
  <si>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</si>
  <si>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</si>
  <si>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</si>
  <si>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</si>
  <si>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</si>
  <si>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</si>
  <si>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</si>
  <si>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</si>
  <si>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</si>
  <si>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</si>
  <si>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</si>
  <si>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</si>
  <si>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</si>
  <si>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</si>
  <si>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</si>
  <si>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</si>
  <si>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</si>
  <si>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</si>
  <si>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</si>
  <si>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</si>
  <si>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</si>
  <si>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</si>
  <si>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</si>
  <si>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</si>
  <si>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</si>
  <si>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</si>
  <si>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</si>
  <si>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</si>
  <si>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</si>
  <si>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</si>
  <si>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</si>
  <si>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</si>
  <si>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</si>
  <si>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</si>
  <si>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</si>
  <si>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</si>
  <si>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</si>
  <si>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</si>
  <si>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</si>
  <si>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</si>
  <si>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</si>
  <si>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</si>
  <si>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</si>
  <si>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</si>
  <si>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</si>
  <si>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</si>
  <si>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</si>
  <si>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</si>
  <si>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</si>
  <si>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</si>
  <si>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</si>
  <si>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</si>
  <si>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</si>
  <si>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</si>
  <si>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</si>
  <si>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</si>
  <si>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</si>
  <si>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</si>
  <si>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</si>
  <si>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</si>
  <si>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</si>
  <si>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</si>
  <si>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</si>
  <si>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</si>
  <si>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</si>
  <si>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</si>
  <si>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</si>
  <si>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</si>
  <si>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</si>
  <si>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</si>
  <si>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</si>
  <si>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</si>
  <si>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</si>
  <si>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</si>
  <si>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</si>
  <si>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</si>
  <si>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</si>
  <si>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</si>
  <si>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</si>
  <si>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</si>
  <si>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</si>
  <si>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</si>
  <si>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</si>
  <si>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</si>
  <si>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</si>
  <si>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</si>
  <si>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</si>
  <si>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</si>
  <si>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</si>
  <si>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</si>
  <si>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</si>
  <si>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</si>
  <si>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</si>
  <si>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</si>
  <si>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</si>
  <si>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</si>
  <si>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</si>
  <si>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</si>
  <si>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</si>
  <si>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</si>
  <si>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</si>
  <si>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</si>
  <si>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</si>
  <si>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</si>
  <si>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</si>
  <si>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</si>
  <si>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</si>
  <si>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</si>
  <si>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</si>
  <si>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</si>
  <si>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</si>
  <si>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</si>
  <si>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</si>
  <si>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</si>
  <si>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</si>
  <si>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</si>
  <si>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</si>
  <si>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</si>
  <si>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</si>
  <si>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</si>
  <si>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</si>
  <si>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</si>
  <si>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</si>
  <si>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</si>
  <si>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</si>
  <si>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</si>
  <si>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</si>
  <si>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</si>
  <si>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</si>
  <si>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</si>
  <si>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</si>
  <si>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</si>
  <si>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</si>
  <si>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</si>
  <si>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</si>
  <si>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</si>
  <si>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</si>
  <si>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</si>
  <si>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</si>
  <si>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</si>
  <si>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</si>
  <si>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</si>
  <si>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</si>
  <si>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</si>
  <si>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</si>
  <si>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</si>
  <si>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</si>
  <si>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</si>
  <si>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</si>
  <si>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</si>
  <si>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</si>
  <si>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</si>
  <si>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</si>
  <si>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</si>
  <si>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</si>
  <si>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</si>
  <si>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</si>
  <si>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</si>
  <si>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</si>
  <si>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</si>
  <si>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</si>
  <si>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</si>
  <si>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</si>
  <si>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</si>
  <si>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</si>
  <si>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</si>
  <si>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</si>
  <si>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</si>
  <si>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</si>
  <si>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</si>
  <si>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</si>
  <si>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</si>
  <si>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</si>
  <si>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</si>
  <si>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</si>
  <si>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</si>
  <si>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</si>
  <si>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</si>
  <si>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</si>
  <si>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</si>
  <si>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</si>
  <si>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</si>
  <si>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</si>
  <si>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</si>
  <si>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</si>
  <si>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</si>
  <si>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</si>
  <si>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</si>
  <si>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</si>
  <si>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</si>
  <si>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</si>
  <si>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</si>
  <si>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</si>
  <si>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</si>
  <si>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</si>
  <si>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</si>
  <si>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</si>
  <si>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</si>
  <si>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</si>
  <si>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</si>
  <si>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</si>
  <si>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</si>
  <si>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</si>
  <si>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</si>
  <si>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</si>
  <si>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</si>
  <si>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</si>
  <si>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</si>
  <si>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</si>
  <si>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</si>
  <si>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</si>
  <si>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</si>
  <si>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</si>
  <si>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</si>
  <si>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</si>
  <si>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</si>
  <si>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</si>
  <si>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</si>
  <si>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</si>
  <si>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</si>
  <si>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</si>
  <si>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</si>
  <si>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</si>
  <si>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</si>
  <si>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</si>
  <si>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</si>
  <si>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</si>
  <si>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</si>
  <si>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</si>
  <si>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</si>
  <si>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</si>
  <si>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</si>
  <si>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</si>
  <si>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</si>
  <si>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</si>
  <si>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</si>
  <si>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</si>
  <si>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</si>
  <si>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</si>
  <si>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</si>
  <si>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</si>
  <si>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</si>
  <si>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</si>
  <si>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</si>
  <si>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</si>
  <si>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</si>
  <si>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</si>
  <si>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</si>
  <si>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</si>
  <si>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</si>
  <si>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</si>
  <si>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</si>
  <si>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</si>
  <si>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</si>
  <si>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</si>
  <si>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</si>
  <si>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</si>
  <si>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</si>
  <si>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</si>
  <si>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</si>
  <si>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</si>
  <si>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</si>
  <si>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</si>
  <si>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</si>
  <si>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</si>
  <si>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</si>
  <si>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</si>
  <si>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</si>
  <si>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</si>
  <si>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</si>
  <si>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</si>
  <si>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</si>
  <si>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</si>
  <si>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</si>
  <si>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</si>
  <si>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</si>
  <si>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</si>
  <si>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</si>
  <si>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</si>
  <si>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</si>
  <si>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</si>
  <si>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</si>
  <si>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</si>
  <si>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</si>
  <si>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</si>
  <si>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</si>
  <si>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</si>
  <si>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</si>
  <si>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</si>
  <si>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</si>
  <si>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</si>
  <si>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</si>
  <si>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</si>
  <si>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</si>
  <si>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</si>
  <si>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</si>
  <si>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</si>
  <si>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</si>
  <si>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</si>
  <si>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</si>
  <si>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</si>
  <si>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</si>
  <si>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</si>
  <si>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</si>
  <si>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</si>
  <si>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</si>
  <si>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</si>
  <si>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</si>
  <si>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</si>
  <si>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</si>
  <si>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</si>
  <si>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</si>
  <si>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</si>
  <si>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</si>
  <si>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</si>
  <si>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</si>
  <si>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</si>
  <si>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</si>
  <si>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</si>
  <si>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</si>
  <si>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</si>
  <si>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</si>
  <si>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</si>
  <si>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</si>
  <si>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</si>
  <si>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</si>
  <si>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</si>
  <si>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</si>
  <si>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</si>
  <si>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</si>
  <si>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</si>
  <si>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</si>
  <si>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</si>
  <si>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</si>
  <si>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</si>
  <si>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</si>
  <si>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</si>
  <si>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</si>
  <si>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</si>
  <si>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</si>
  <si>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</si>
  <si>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</si>
  <si>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</si>
  <si>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</si>
  <si>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</si>
  <si>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</si>
  <si>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</si>
  <si>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</si>
  <si>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</si>
  <si>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</si>
  <si>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</si>
  <si>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</si>
  <si>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</si>
  <si>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</si>
  <si>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</si>
  <si>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</si>
  <si>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</si>
  <si>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</si>
  <si>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</si>
  <si>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</si>
  <si>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</si>
  <si>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</si>
  <si>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</si>
  <si>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</si>
  <si>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</si>
  <si>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</si>
  <si>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</si>
  <si>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</si>
  <si>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</si>
  <si>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</si>
  <si>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</si>
  <si>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</si>
  <si>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</si>
  <si>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</si>
  <si>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</si>
  <si>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</si>
  <si>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</si>
  <si>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</si>
  <si>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</si>
  <si>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</si>
  <si>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</si>
  <si>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</si>
  <si>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</si>
  <si>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</si>
  <si>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</si>
  <si>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</si>
  <si>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</si>
  <si>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</si>
  <si>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</si>
  <si>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</si>
  <si>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</si>
  <si>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</si>
  <si>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</si>
  <si>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</si>
  <si>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</si>
  <si>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</si>
  <si>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</si>
  <si>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</si>
  <si>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</si>
  <si>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</si>
  <si>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</si>
  <si>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</si>
  <si>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</si>
  <si>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</si>
  <si>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</si>
  <si>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</si>
  <si>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</si>
  <si>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</si>
  <si>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</si>
  <si>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</si>
  <si>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</si>
  <si>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</si>
  <si>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</si>
  <si>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</si>
  <si>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</si>
  <si>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</si>
  <si>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</si>
  <si>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</si>
  <si>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</si>
  <si>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</si>
  <si>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</si>
  <si>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</si>
  <si>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</si>
  <si>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</si>
  <si>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</si>
  <si>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</si>
  <si>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</si>
  <si>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</si>
  <si>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</si>
  <si>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</si>
  <si>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</si>
  <si>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</si>
  <si>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</si>
  <si>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</si>
  <si>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</si>
  <si>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</si>
  <si>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</si>
  <si>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</si>
  <si>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</si>
  <si>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</si>
  <si>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</si>
  <si>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</si>
  <si>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</si>
  <si>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</si>
  <si>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</si>
  <si>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</si>
  <si>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</si>
  <si>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</si>
  <si>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</si>
  <si>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</si>
  <si>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</si>
  <si>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</si>
  <si>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</si>
  <si>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</si>
  <si>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</si>
  <si>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</si>
  <si>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</si>
  <si>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</si>
  <si>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</si>
  <si>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</si>
  <si>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</si>
  <si>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</si>
  <si>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</si>
  <si>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</si>
  <si>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</si>
  <si>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</si>
  <si>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</si>
  <si>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</si>
  <si>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</si>
  <si>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</si>
  <si>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</si>
  <si>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</si>
  <si>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</si>
  <si>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</si>
  <si>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</si>
  <si>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</si>
  <si>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</si>
  <si>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</si>
  <si>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</si>
  <si>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</si>
  <si>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</si>
  <si>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</si>
  <si>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</si>
  <si>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</si>
  <si>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</si>
  <si>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</si>
  <si>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</si>
  <si>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</si>
  <si>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</si>
  <si>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</si>
  <si>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</si>
  <si>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</si>
  <si>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</si>
  <si>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</si>
  <si>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</si>
  <si>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</si>
  <si>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</si>
  <si>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</si>
  <si>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</si>
  <si>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</si>
  <si>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</si>
  <si>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</si>
  <si>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</si>
  <si>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</si>
  <si>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</si>
  <si>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</si>
  <si>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</si>
  <si>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</si>
  <si>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</si>
  <si>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</si>
  <si>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</si>
  <si>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</si>
  <si>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</si>
  <si>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</si>
  <si>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</si>
  <si>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</si>
  <si>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</si>
  <si>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</si>
  <si>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</si>
  <si>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</si>
  <si>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</si>
  <si>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</si>
  <si>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</si>
  <si>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</si>
  <si>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</si>
  <si>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</si>
  <si>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</si>
  <si>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</si>
  <si>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</si>
  <si>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</si>
  <si>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</si>
  <si>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</si>
  <si>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</si>
  <si>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</si>
  <si>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</si>
  <si>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</si>
  <si>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</si>
  <si>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</si>
  <si>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</si>
  <si>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</si>
  <si>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</si>
  <si>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</si>
  <si>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</si>
  <si>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</si>
  <si>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</si>
  <si>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</si>
  <si>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</si>
  <si>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</si>
  <si>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</si>
  <si>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</si>
  <si>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</si>
  <si>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</si>
  <si>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</si>
  <si>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</si>
  <si>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</si>
  <si>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</si>
  <si>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</si>
  <si>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</si>
  <si>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</si>
  <si>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</si>
  <si>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</si>
  <si>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</si>
  <si>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</si>
  <si>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</si>
  <si>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</si>
  <si>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</si>
  <si>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</si>
  <si>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</si>
  <si>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</si>
  <si>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</si>
  <si>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</si>
  <si>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</si>
  <si>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</si>
  <si>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</si>
  <si>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</si>
  <si>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</si>
  <si>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</si>
  <si>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</si>
  <si>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</si>
  <si>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</si>
  <si>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</si>
  <si>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</si>
  <si>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</si>
  <si>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</si>
  <si>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</si>
  <si>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</si>
  <si>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</si>
  <si>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</si>
  <si>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</si>
  <si>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</si>
  <si>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</si>
  <si>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</si>
  <si>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</si>
  <si>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</si>
  <si>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</si>
  <si>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</si>
  <si>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</si>
  <si>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</si>
  <si>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</si>
  <si>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</si>
  <si>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</si>
  <si>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</si>
  <si>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</si>
  <si>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</si>
  <si>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</si>
  <si>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</si>
  <si>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</si>
  <si>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</si>
  <si>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</si>
  <si>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</si>
  <si>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</si>
  <si>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</si>
  <si>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</si>
  <si>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</si>
  <si>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</si>
  <si>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</si>
  <si>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</si>
  <si>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</si>
  <si>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</si>
  <si>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</si>
  <si>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</si>
  <si>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</si>
  <si>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</si>
  <si>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</si>
  <si>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</si>
  <si>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</si>
  <si>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</si>
  <si>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</si>
  <si>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</si>
  <si>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</si>
  <si>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</si>
  <si>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</si>
  <si>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</si>
  <si>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</si>
  <si>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</si>
  <si>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</si>
  <si>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</si>
  <si>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</si>
  <si>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</si>
  <si>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</si>
  <si>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</si>
  <si>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</si>
  <si>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</si>
  <si>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</si>
  <si>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</si>
  <si>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</si>
  <si>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</si>
  <si>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</si>
  <si>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</si>
  <si>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</si>
  <si>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</si>
  <si>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</si>
  <si>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</si>
  <si>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</si>
  <si>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</si>
  <si>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</si>
  <si>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</si>
  <si>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</si>
  <si>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</si>
  <si>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</si>
  <si>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</si>
  <si>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</si>
  <si>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</si>
  <si>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</si>
  <si>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</si>
  <si>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</si>
  <si>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</si>
  <si>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</si>
  <si>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</si>
  <si>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</si>
  <si>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</si>
  <si>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</si>
  <si>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</si>
  <si>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</si>
  <si>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</si>
  <si>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</si>
  <si>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</si>
  <si>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</si>
  <si>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</si>
  <si>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</si>
  <si>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</si>
  <si>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</si>
  <si>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</si>
  <si>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</si>
  <si>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</si>
  <si>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</si>
  <si>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</si>
  <si>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</si>
  <si>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</si>
  <si>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</si>
  <si>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</si>
  <si>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</si>
  <si>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</si>
  <si>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</si>
  <si>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</si>
  <si>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</si>
  <si>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</si>
  <si>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</si>
  <si>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</si>
  <si>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</si>
  <si>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</si>
  <si>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</si>
  <si>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</si>
  <si>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</si>
  <si>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</si>
  <si>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</si>
  <si>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</si>
  <si>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</si>
  <si>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</si>
  <si>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</si>
  <si>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</si>
  <si>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</si>
  <si>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</si>
  <si>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</si>
  <si>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</si>
  <si>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</si>
  <si>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</si>
  <si>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</si>
  <si>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</si>
  <si>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</si>
  <si>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</si>
  <si>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</si>
  <si>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</si>
  <si>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</si>
  <si>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</si>
  <si>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</si>
  <si>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</si>
  <si>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</si>
  <si>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</si>
  <si>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</si>
  <si>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</si>
  <si>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</si>
  <si>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</si>
  <si>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</si>
  <si>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</si>
  <si>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</si>
  <si>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</si>
  <si>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</si>
  <si>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</si>
  <si>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</si>
  <si>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</si>
  <si>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</si>
  <si>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</si>
  <si>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</si>
  <si>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</si>
  <si>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</si>
  <si>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</si>
  <si>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</si>
  <si>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</si>
  <si>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</si>
  <si>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</si>
  <si>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</si>
  <si>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</si>
  <si>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</si>
  <si>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</si>
  <si>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</si>
  <si>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</si>
  <si>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</si>
  <si>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</si>
  <si>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</si>
  <si>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</si>
  <si>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</si>
  <si>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</si>
  <si>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</si>
  <si>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</si>
  <si>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</si>
  <si>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</si>
  <si>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</si>
  <si>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</si>
  <si>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</si>
  <si>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</si>
  <si>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</si>
  <si>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</si>
  <si>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</si>
  <si>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</si>
  <si>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</si>
  <si>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</si>
  <si>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</si>
  <si>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</si>
  <si>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</si>
  <si>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</si>
  <si>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</si>
  <si>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</si>
  <si>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</si>
  <si>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</si>
  <si>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</si>
  <si>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</si>
  <si>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</si>
  <si>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</si>
  <si>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</si>
  <si>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</si>
  <si>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</si>
  <si>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</si>
  <si>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</si>
  <si>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</si>
  <si>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</si>
  <si>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</si>
  <si>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</si>
  <si>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</si>
  <si>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</si>
  <si>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</si>
  <si>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</si>
  <si>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</si>
  <si>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</si>
  <si>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</si>
  <si>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</si>
  <si>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</si>
  <si>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</si>
  <si>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</si>
  <si>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</si>
  <si>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</si>
  <si>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</si>
  <si>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</si>
  <si>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</si>
  <si>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</si>
  <si>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</si>
  <si>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</si>
  <si>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</si>
  <si>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</si>
  <si>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</si>
  <si>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</si>
  <si>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</si>
  <si>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</si>
  <si>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</si>
  <si>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</si>
  <si>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</si>
  <si>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</si>
  <si>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</si>
  <si>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</si>
  <si>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</si>
  <si>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</si>
  <si>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</si>
  <si>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</si>
  <si>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</si>
  <si>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</si>
  <si>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</si>
  <si>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</si>
  <si>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</si>
  <si>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</si>
  <si>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</si>
  <si>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</si>
  <si>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</si>
  <si>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</si>
  <si>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</si>
  <si>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</si>
  <si>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</si>
  <si>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</si>
  <si>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</si>
  <si>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</si>
  <si>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</si>
  <si>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</si>
  <si>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</si>
  <si>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</si>
  <si>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</si>
  <si>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</si>
  <si>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</si>
  <si>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</si>
  <si>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</si>
  <si>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</si>
  <si>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</si>
  <si>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</si>
  <si>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</si>
  <si>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</si>
  <si>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</si>
  <si>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</si>
  <si>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</si>
  <si>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</si>
  <si>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</si>
  <si>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</si>
  <si>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</si>
  <si>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</si>
  <si>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</si>
  <si>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</si>
  <si>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</si>
  <si>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</si>
  <si>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</si>
  <si>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</si>
  <si>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</si>
  <si>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</si>
  <si>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</si>
  <si>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</si>
  <si>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</si>
  <si>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</si>
  <si>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</si>
  <si>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</si>
  <si>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</si>
  <si>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</si>
  <si>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</si>
  <si>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</si>
  <si>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</si>
  <si>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</si>
  <si>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</si>
  <si>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</si>
  <si>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</si>
  <si>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</si>
  <si>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</si>
  <si>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</si>
  <si>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</si>
  <si>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</si>
  <si>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</si>
  <si>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</si>
  <si>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</si>
  <si>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</si>
  <si>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</si>
  <si>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</si>
  <si>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</si>
  <si>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</si>
  <si>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</si>
  <si>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</si>
  <si>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</si>
  <si>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</si>
  <si>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</si>
  <si>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</si>
  <si>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</si>
  <si>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</si>
  <si>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</si>
  <si>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</si>
  <si>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</si>
  <si>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</si>
  <si>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</si>
  <si>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</si>
  <si>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</si>
  <si>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</si>
  <si>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</si>
  <si>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</si>
  <si>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</si>
  <si>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</si>
  <si>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</si>
  <si>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</si>
  <si>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</si>
  <si>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</si>
  <si>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</si>
  <si>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</si>
  <si>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</si>
  <si>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</si>
  <si>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</si>
  <si>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</si>
  <si>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</si>
  <si>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</si>
  <si>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</si>
  <si>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</si>
  <si>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</si>
  <si>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</si>
  <si>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</si>
  <si>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</si>
  <si>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</si>
  <si>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</si>
  <si>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</si>
  <si>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</si>
  <si>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</si>
  <si>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</si>
  <si>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</si>
  <si>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</si>
  <si>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</si>
  <si>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</si>
  <si>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</si>
  <si>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</si>
  <si>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</si>
  <si>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</si>
  <si>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</si>
  <si>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</si>
  <si>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</si>
  <si>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</si>
  <si>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</si>
  <si>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</si>
  <si>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</si>
  <si>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</si>
  <si>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</si>
  <si>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</si>
  <si>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</si>
  <si>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</si>
  <si>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</si>
  <si>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</si>
  <si>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</si>
  <si>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</si>
  <si>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</si>
  <si>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</si>
  <si>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</si>
  <si>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</si>
  <si>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</si>
  <si>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</si>
  <si>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</si>
  <si>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</si>
  <si>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</si>
  <si>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</si>
  <si>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</si>
  <si>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</si>
  <si>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</si>
  <si>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</si>
  <si>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</si>
  <si>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</si>
  <si>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</si>
  <si>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</si>
  <si>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</si>
  <si>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</si>
  <si>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</si>
  <si>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</si>
  <si>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</si>
  <si>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</si>
  <si>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</si>
  <si>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</si>
  <si>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</si>
  <si>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</si>
  <si>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</si>
  <si>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</si>
  <si>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</si>
  <si>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</si>
  <si>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</si>
  <si>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</si>
  <si>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</si>
  <si>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</si>
  <si>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</si>
  <si>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</si>
  <si>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</si>
  <si>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</si>
  <si>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</si>
  <si>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</si>
  <si>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</si>
  <si>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</si>
  <si>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</si>
  <si>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</si>
  <si>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</si>
  <si>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</si>
  <si>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</si>
  <si>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</si>
  <si>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</si>
  <si>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</si>
  <si>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</si>
  <si>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</si>
  <si>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</si>
  <si>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</si>
  <si>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</si>
  <si>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</si>
  <si>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</si>
  <si>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</si>
  <si>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</si>
  <si>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</si>
  <si>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</si>
  <si>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</si>
  <si>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</si>
  <si>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</si>
  <si>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</si>
  <si>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</si>
  <si>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</si>
  <si>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</si>
  <si>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</si>
  <si>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</si>
  <si>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</si>
  <si>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</si>
  <si>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</si>
  <si>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</si>
  <si>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</si>
  <si>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</si>
  <si>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</si>
  <si>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</si>
  <si>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</si>
  <si>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</si>
  <si>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</si>
  <si>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</si>
  <si>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</si>
  <si>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</si>
  <si>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</si>
  <si>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</si>
  <si>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</si>
  <si>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</si>
  <si>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</si>
  <si>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</si>
  <si>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</si>
  <si>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</si>
  <si>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</si>
  <si>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</si>
  <si>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</si>
  <si>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</si>
  <si>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</si>
  <si>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</si>
  <si>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</si>
  <si>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</si>
  <si>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</si>
  <si>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</si>
  <si>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</si>
  <si>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</si>
  <si>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</si>
  <si>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</si>
  <si>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</si>
  <si>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</si>
  <si>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</si>
  <si>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</si>
  <si>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</si>
  <si>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</si>
  <si>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</si>
  <si>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</si>
  <si>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</si>
  <si>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</si>
  <si>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</si>
  <si>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</si>
  <si>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</si>
  <si>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</si>
  <si>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</si>
  <si>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</si>
  <si>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</si>
  <si>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</si>
  <si>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</si>
  <si>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</si>
  <si>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</si>
  <si>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</si>
  <si>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</si>
  <si>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</si>
  <si>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</si>
  <si>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</si>
  <si>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</si>
  <si>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</si>
  <si>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</si>
  <si>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</si>
  <si>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</si>
  <si>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</si>
  <si>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</si>
  <si>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</si>
  <si>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</si>
  <si>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</si>
  <si>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</si>
  <si>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</si>
  <si>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</si>
  <si>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</si>
  <si>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</si>
  <si>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</si>
  <si>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</si>
  <si>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</si>
  <si>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</si>
  <si>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</si>
  <si>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</si>
  <si>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</si>
  <si>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</si>
  <si>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</si>
  <si>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</si>
  <si>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</si>
  <si>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</si>
  <si>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</si>
  <si>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</si>
  <si>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</si>
  <si>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</si>
  <si>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</si>
  <si>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</si>
  <si>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</si>
  <si>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</si>
  <si>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</si>
  <si>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</si>
  <si>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</si>
  <si>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</si>
  <si>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</si>
  <si>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</si>
  <si>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</si>
  <si>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</si>
  <si>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</si>
  <si>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</si>
  <si>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</si>
  <si>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</si>
  <si>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</si>
  <si>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</si>
  <si>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</si>
  <si>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</si>
  <si>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</si>
  <si>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</si>
  <si>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</si>
  <si>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</si>
  <si>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</si>
  <si>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</si>
  <si>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</si>
  <si>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</si>
  <si>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</si>
  <si>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</si>
  <si>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</si>
  <si>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</si>
  <si>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</si>
  <si>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</si>
  <si>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</si>
  <si>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</si>
  <si>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</si>
  <si>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</si>
  <si>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</si>
  <si>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</si>
  <si>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</si>
  <si>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</si>
  <si>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</si>
  <si>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</si>
  <si>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</si>
  <si>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</si>
  <si>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</si>
  <si>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</si>
  <si>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</si>
  <si>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</si>
  <si>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</si>
  <si>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</si>
  <si>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</si>
  <si>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</si>
  <si>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</si>
  <si>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</si>
  <si>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</si>
  <si>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</si>
  <si>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</si>
  <si>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</si>
  <si>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</si>
  <si>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</si>
  <si>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</si>
  <si>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</si>
  <si>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</si>
  <si>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</si>
  <si>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</si>
  <si>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</si>
  <si>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</si>
  <si>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</si>
  <si>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</si>
  <si>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</si>
  <si>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</si>
  <si>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</si>
  <si>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</si>
  <si>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</si>
  <si>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</si>
  <si>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</si>
  <si>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</si>
  <si>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</si>
  <si>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</si>
  <si>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</si>
  <si>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</si>
  <si>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</si>
  <si>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</si>
  <si>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</si>
  <si>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</si>
  <si>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</si>
  <si>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</si>
  <si>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</si>
  <si>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</si>
  <si>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</si>
  <si>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</si>
  <si>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</si>
  <si>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</si>
  <si>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</si>
  <si>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</si>
  <si>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</si>
  <si>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</si>
  <si>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</si>
  <si>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</si>
  <si>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</si>
  <si>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</si>
  <si>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</si>
  <si>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</si>
  <si>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</si>
  <si>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</si>
  <si>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</si>
  <si>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</si>
  <si>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</si>
  <si>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</si>
  <si>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</si>
  <si>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</si>
  <si>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</si>
  <si>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</si>
  <si>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</si>
  <si>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</si>
  <si>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</si>
  <si>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</si>
  <si>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</si>
  <si>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</si>
  <si>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</si>
  <si>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</si>
  <si>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</si>
  <si>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</si>
  <si>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</si>
  <si>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</si>
  <si>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</si>
  <si>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</si>
  <si>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</si>
  <si>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</si>
  <si>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</si>
  <si>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</si>
  <si>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</si>
  <si>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</si>
  <si>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</si>
  <si>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</si>
  <si>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</si>
  <si>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</si>
  <si>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</si>
  <si>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</si>
  <si>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</si>
  <si>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</si>
  <si>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</si>
  <si>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</si>
  <si>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</si>
  <si>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</si>
  <si>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</si>
  <si>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</si>
  <si>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</si>
  <si>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</si>
  <si>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</si>
  <si>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</si>
  <si>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</si>
  <si>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</si>
  <si>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</si>
  <si>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</si>
  <si>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</si>
  <si>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</si>
  <si>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</si>
  <si>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</si>
  <si>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</si>
  <si>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</si>
  <si>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</si>
  <si>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</si>
  <si>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</si>
  <si>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</si>
  <si>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</si>
  <si>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</si>
  <si>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</si>
  <si>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</si>
  <si>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</si>
  <si>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</si>
  <si>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</si>
  <si>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</si>
  <si>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</si>
  <si>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</si>
  <si>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</si>
  <si>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</si>
  <si>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</si>
  <si>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</si>
  <si>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</si>
  <si>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</si>
  <si>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</si>
  <si>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</si>
  <si>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</si>
  <si>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</si>
  <si>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</si>
  <si>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</si>
  <si>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</si>
  <si>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</si>
  <si>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</si>
  <si>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</si>
  <si>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</si>
  <si>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</si>
  <si>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</si>
  <si>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</si>
  <si>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</si>
  <si>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</si>
  <si>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</si>
  <si>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</si>
  <si>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</si>
  <si>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</si>
  <si>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</si>
  <si>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</si>
  <si>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</si>
  <si>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</si>
  <si>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</si>
  <si>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</si>
  <si>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</si>
  <si>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</si>
  <si>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</si>
  <si>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</si>
  <si>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</si>
  <si>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</si>
  <si>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</si>
  <si>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</si>
  <si>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</si>
  <si>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</si>
  <si>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</si>
  <si>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</si>
  <si>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</si>
  <si>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</si>
  <si>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</si>
  <si>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</si>
  <si>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</si>
  <si>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</si>
  <si>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</si>
  <si>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</si>
  <si>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</si>
  <si>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</si>
  <si>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</si>
  <si>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</si>
  <si>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</si>
  <si>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</si>
  <si>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</si>
  <si>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</si>
  <si>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</si>
  <si>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</si>
  <si>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</si>
  <si>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</si>
  <si>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</si>
  <si>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</si>
  <si>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</si>
  <si>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</si>
  <si>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</si>
  <si>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</si>
  <si>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</si>
  <si>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</si>
  <si>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</si>
  <si>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</si>
  <si>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</si>
  <si>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</si>
  <si>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</si>
  <si>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</si>
  <si>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</si>
  <si>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</si>
  <si>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</si>
  <si>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</si>
  <si>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</si>
  <si>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</si>
  <si>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</si>
  <si>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</si>
  <si>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</si>
  <si>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</si>
  <si>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</si>
  <si>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</si>
  <si>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</si>
  <si>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</si>
  <si>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</si>
  <si>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</si>
  <si>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</si>
  <si>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</si>
  <si>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</si>
  <si>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</si>
  <si>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</si>
  <si>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</si>
  <si>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</si>
  <si>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</si>
  <si>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</si>
  <si>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</si>
  <si>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</si>
  <si>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</si>
  <si>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</si>
  <si>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</si>
  <si>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</si>
  <si>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</si>
  <si>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</si>
  <si>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</si>
  <si>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</si>
  <si>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</si>
  <si>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</si>
  <si>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</si>
  <si>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</si>
  <si>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</si>
  <si>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</si>
  <si>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</si>
  <si>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</si>
  <si>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</si>
  <si>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</si>
  <si>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</si>
  <si>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</si>
  <si>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</si>
  <si>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</si>
  <si>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</si>
  <si>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</si>
  <si>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</si>
  <si>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</si>
  <si>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</si>
  <si>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</si>
  <si>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</si>
  <si>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</si>
  <si>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</si>
  <si>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</si>
  <si>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</si>
  <si>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</si>
  <si>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</si>
  <si>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</si>
  <si>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</si>
  <si>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</si>
  <si>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</si>
  <si>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</si>
  <si>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</si>
  <si>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</si>
  <si>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</si>
  <si>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</si>
  <si>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</si>
  <si>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</si>
  <si>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</si>
  <si>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</si>
  <si>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</si>
  <si>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</si>
  <si>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</si>
  <si>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</si>
  <si>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</si>
  <si>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</si>
  <si>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</si>
  <si>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</si>
  <si>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</si>
  <si>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</si>
  <si>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</si>
  <si>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</si>
  <si>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</si>
  <si>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</si>
  <si>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</si>
  <si>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</si>
  <si>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</si>
  <si>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</si>
  <si>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</si>
  <si>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</si>
  <si>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</si>
  <si>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</si>
  <si>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</si>
  <si>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</si>
  <si>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</si>
  <si>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</si>
  <si>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</si>
  <si>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</si>
  <si>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</si>
  <si>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</si>
  <si>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</si>
  <si>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</si>
  <si>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</si>
  <si>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</si>
  <si>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</si>
  <si>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</si>
  <si>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</si>
  <si>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</si>
  <si>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</si>
  <si>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</si>
  <si>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</si>
  <si>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</si>
  <si>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</si>
  <si>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</si>
  <si>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</si>
  <si>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</si>
  <si>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</si>
  <si>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</si>
  <si>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</si>
  <si>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</si>
  <si>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</si>
  <si>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</si>
  <si>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</si>
  <si>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</si>
  <si>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</si>
  <si>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</si>
  <si>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</si>
  <si>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</si>
  <si>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</si>
  <si>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</si>
  <si>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</si>
  <si>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</si>
  <si>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</si>
  <si>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</si>
  <si>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</si>
  <si>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</si>
  <si>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</si>
  <si>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</si>
  <si>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</si>
  <si>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</si>
  <si>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</si>
  <si>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</si>
  <si>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</si>
  <si>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</si>
  <si>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</si>
  <si>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</si>
  <si>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</si>
  <si>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</si>
  <si>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</si>
  <si>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</si>
  <si>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</si>
  <si>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</si>
  <si>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</si>
  <si>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</si>
  <si>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</si>
  <si>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</si>
  <si>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</si>
  <si>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</si>
  <si>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</si>
  <si>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</si>
  <si>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</si>
  <si>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</si>
  <si>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</si>
  <si>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</si>
  <si>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</si>
  <si>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</si>
  <si>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</si>
  <si>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</si>
  <si>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</si>
  <si>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</si>
  <si>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</si>
  <si>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</si>
  <si>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</si>
  <si>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</si>
  <si>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</si>
  <si>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</si>
  <si>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</si>
  <si>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</si>
  <si>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</si>
  <si>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</si>
  <si>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</si>
  <si>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</si>
  <si>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</si>
  <si>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</si>
  <si>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</si>
  <si>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</si>
  <si>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</si>
  <si>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</si>
  <si>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</si>
  <si>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</si>
  <si>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</si>
  <si>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</si>
  <si>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</si>
  <si>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</si>
  <si>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</si>
  <si>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</si>
  <si>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</si>
  <si>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</si>
  <si>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</si>
  <si>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</si>
  <si>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</si>
  <si>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</si>
  <si>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</si>
  <si>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</si>
  <si>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</si>
  <si>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</si>
  <si>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</si>
  <si>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</si>
  <si>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</si>
  <si>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</si>
  <si>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</si>
  <si>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</si>
  <si>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</si>
  <si>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</si>
  <si>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</si>
  <si>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</si>
  <si>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</si>
  <si>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</si>
  <si>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</si>
  <si>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</si>
  <si>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</si>
  <si>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</si>
  <si>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</si>
  <si>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</si>
  <si>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</si>
  <si>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</si>
  <si>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</si>
  <si>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</si>
  <si>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</si>
  <si>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</si>
  <si>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</si>
  <si>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</si>
  <si>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</si>
  <si>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</si>
  <si>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</si>
  <si>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</si>
  <si>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</si>
  <si>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</si>
  <si>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</si>
  <si>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Nathan Trotter &amp; Co.</t>
  </si>
  <si>
    <t>241 Stewart Huston Dr. Coatesville, PA 19320</t>
  </si>
  <si>
    <t>Ben Etherington</t>
  </si>
  <si>
    <t>6105241440</t>
  </si>
  <si>
    <t>Executive Vice President</t>
  </si>
  <si>
    <t>ben@nathantrotter.com</t>
  </si>
  <si>
    <t>610-524-1440</t>
  </si>
  <si>
    <t xml:space="preserve">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 list, and therefore may source material from approved level 3 smelters.  Level 3 smelters listed here include MSC and Thaisarco.  </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</si>
  <si>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</si>
  <si>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100%</t>
  </si>
  <si>
    <t>https://nathantrotter.com/resources/</t>
  </si>
  <si>
    <t>NT does not use the CMRT form for data collecrtion as it is largely not applicable for use directly with smelters.  Instead, NT uses our own resources to gather due diligence information.</t>
  </si>
  <si>
    <t>Bairro Guarapiranga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</si>
</sst>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en@nathantrott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en@nathantrotter.com" TargetMode="External"/><Relationship Id="rId4" Type="http://schemas.openxmlformats.org/officeDocument/2006/relationships/hyperlink" Target="https://nathantrotter.com/resourc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B21E57E-75EA-439F-B492-434A70C5A9A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E0D0BF5-DCC5-48E4-B449-236072F76E7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H22" sqref="H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45898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97.5" customHeight="1">
      <c r="A39" s="41"/>
      <c r="B39" s="40" t="str">
        <f ca="1">OFFSET(L!$C$1,MATCH("Declaration"&amp;ADDRESS(ROW(),COLUMN(),4),L!$A:$A,0)-1,SL,,)&amp;P39</f>
        <v>Tin  (*)</v>
      </c>
      <c r="C39" s="10"/>
      <c r="D39" s="326" t="s">
        <v>475</v>
      </c>
      <c r="E39" s="327"/>
      <c r="F39" s="47"/>
      <c r="G39" s="334" t="s">
        <v>15824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78.75" customHeight="1">
      <c r="A45" s="41"/>
      <c r="B45" s="40" t="str">
        <f ca="1">OFFSET(L!$C$1,MATCH("Declaration"&amp;ADDRESS(ROW(),COLUMN(),4),L!$A:$A,0)-1,SL,,)&amp;P45</f>
        <v>Tin  (*)</v>
      </c>
      <c r="C45" s="10"/>
      <c r="D45" s="326" t="s">
        <v>475</v>
      </c>
      <c r="E45" s="327"/>
      <c r="F45" s="47"/>
      <c r="G45" s="334" t="s">
        <v>15825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34" t="s">
        <v>15828</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CD35E064-B0CF-40DB-82DB-848C1E6905AD}"/>
    <hyperlink ref="G77" r:id="rId4" xr:uid="{D1E3B4FF-84B3-44AD-A32E-257D6F64E2BB}"/>
    <hyperlink ref="D16" r:id="rId5" xr:uid="{564E1BC7-F353-43EE-B92A-97282918E1D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8" sqref="C1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c r="B5" s="182" t="s">
        <v>1099</v>
      </c>
      <c r="C5" s="186" t="s">
        <v>12875</v>
      </c>
      <c r="D5" s="230"/>
      <c r="E5" s="182" t="s">
        <v>1065</v>
      </c>
      <c r="F5" s="182" t="s">
        <v>753</v>
      </c>
      <c r="G5" s="182" t="s">
        <v>13177</v>
      </c>
      <c r="H5" s="183">
        <v>0</v>
      </c>
      <c r="I5" s="184" t="s">
        <v>15829</v>
      </c>
      <c r="J5" s="184" t="s">
        <v>1640</v>
      </c>
      <c r="K5" s="224"/>
      <c r="L5" s="224"/>
      <c r="M5" s="224"/>
      <c r="N5" s="224"/>
      <c r="O5" s="224"/>
      <c r="P5" s="185"/>
      <c r="Q5" s="225"/>
      <c r="R5" s="182" t="s">
        <v>12377</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467</v>
      </c>
      <c r="X5" s="227">
        <f t="shared" ref="X5:X14" si="1">IF(AND(C5="Smelter not listed",OR(LEN(D5)=0,LEN(E5)=0)),1,0)</f>
        <v>0</v>
      </c>
      <c r="AB5" s="228" t="str">
        <f t="shared" ref="AB5:AB14" si="2">B5&amp;C5</f>
        <v>TinMineracao Taboca SA</v>
      </c>
    </row>
    <row r="6" spans="1:34" s="227" customFormat="1" ht="19.899999999999999" customHeight="1">
      <c r="A6" s="262"/>
      <c r="B6" s="182" t="s">
        <v>1099</v>
      </c>
      <c r="C6" s="186" t="s">
        <v>793</v>
      </c>
      <c r="D6" s="230"/>
      <c r="E6" s="182" t="s">
        <v>1084</v>
      </c>
      <c r="F6" s="182" t="s">
        <v>752</v>
      </c>
      <c r="G6" s="182" t="s">
        <v>13177</v>
      </c>
      <c r="H6" s="183">
        <v>0</v>
      </c>
      <c r="I6" s="184" t="s">
        <v>1739</v>
      </c>
      <c r="J6" s="184" t="s">
        <v>8635</v>
      </c>
      <c r="K6" s="224"/>
      <c r="L6" s="224"/>
      <c r="M6" s="224"/>
      <c r="N6" s="224"/>
      <c r="O6" s="224"/>
      <c r="P6" s="185"/>
      <c r="Q6" s="225"/>
      <c r="R6" s="182" t="s">
        <v>793</v>
      </c>
      <c r="S6" s="181" t="str">
        <f t="shared" ref="S6:S14"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si="2"/>
        <v>TinMalaysia Smelting Corporation (MSC)</v>
      </c>
    </row>
    <row r="7" spans="1:34" s="227" customFormat="1" ht="19.899999999999999" customHeight="1">
      <c r="A7" s="262"/>
      <c r="B7" s="182" t="s">
        <v>1099</v>
      </c>
      <c r="C7" s="186" t="s">
        <v>1000</v>
      </c>
      <c r="D7" s="230"/>
      <c r="E7" s="182" t="s">
        <v>859</v>
      </c>
      <c r="F7" s="182" t="s">
        <v>763</v>
      </c>
      <c r="G7" s="182" t="s">
        <v>13177</v>
      </c>
      <c r="H7" s="183">
        <v>0</v>
      </c>
      <c r="I7" s="184" t="s">
        <v>1752</v>
      </c>
      <c r="J7" s="184" t="s">
        <v>1753</v>
      </c>
      <c r="K7" s="224"/>
      <c r="L7" s="224"/>
      <c r="M7" s="224"/>
      <c r="N7" s="224"/>
      <c r="O7" s="224"/>
      <c r="P7" s="185"/>
      <c r="Q7" s="225"/>
      <c r="R7" s="182" t="s">
        <v>1000</v>
      </c>
      <c r="S7" s="181" t="str">
        <f t="shared" ca="1" si="3"/>
        <v>TH</v>
      </c>
      <c r="T7" s="181" t="str">
        <f ca="1">IF(B7="","",IF(ISERROR(MATCH($J7,[1]SorP!$B$1:$B$6279,0)),"",INDIRECT("'SorP'!$A$"&amp;MATCH($S7&amp;$J7,[1]SorP!C:C,0))))</f>
        <v>TH-83</v>
      </c>
      <c r="U7" s="201"/>
      <c r="V7" s="226">
        <f>IF(C7="",NA(),IF(OR(C7="Smelter not listed",C7="Smelter not yet identified"),MATCH($B7&amp;$D7,'[1]Smelter Look-up'!$J:$J,0),MATCH($B7&amp;$C7,'[1]Smelter Look-up'!$J:$J,0)))</f>
        <v>526</v>
      </c>
      <c r="X7" s="227">
        <f t="shared" si="1"/>
        <v>0</v>
      </c>
      <c r="AB7" s="228" t="str">
        <f t="shared" si="2"/>
        <v>TinThaisarco</v>
      </c>
    </row>
    <row r="8" spans="1:34" s="227" customFormat="1" ht="19.899999999999999" customHeight="1">
      <c r="A8" s="262"/>
      <c r="B8" s="182" t="s">
        <v>1099</v>
      </c>
      <c r="C8" s="186" t="s">
        <v>13714</v>
      </c>
      <c r="D8" s="230"/>
      <c r="E8" s="182" t="s">
        <v>1074</v>
      </c>
      <c r="F8" s="182" t="s">
        <v>777</v>
      </c>
      <c r="G8" s="182" t="s">
        <v>13177</v>
      </c>
      <c r="H8" s="183">
        <v>0</v>
      </c>
      <c r="I8" s="184" t="s">
        <v>1749</v>
      </c>
      <c r="J8" s="184" t="s">
        <v>6016</v>
      </c>
      <c r="K8" s="224"/>
      <c r="L8" s="224"/>
      <c r="M8" s="224"/>
      <c r="N8" s="224"/>
      <c r="O8" s="224"/>
      <c r="P8" s="185"/>
      <c r="Q8" s="225"/>
      <c r="R8" s="182" t="s">
        <v>13714</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2"/>
        <v>TinPT Timah Tbk Kundur</v>
      </c>
    </row>
    <row r="9" spans="1:34" s="227" customFormat="1" ht="19.899999999999999" customHeight="1">
      <c r="A9" s="262"/>
      <c r="B9" s="182" t="s">
        <v>1099</v>
      </c>
      <c r="C9" s="186" t="s">
        <v>13713</v>
      </c>
      <c r="D9" s="230"/>
      <c r="E9" s="182" t="s">
        <v>1074</v>
      </c>
      <c r="F9" s="182" t="s">
        <v>760</v>
      </c>
      <c r="G9" s="182" t="s">
        <v>13177</v>
      </c>
      <c r="H9" s="183">
        <v>0</v>
      </c>
      <c r="I9" s="184" t="s">
        <v>1751</v>
      </c>
      <c r="J9" s="184" t="s">
        <v>12799</v>
      </c>
      <c r="K9" s="224"/>
      <c r="L9" s="224"/>
      <c r="M9" s="224"/>
      <c r="N9" s="224"/>
      <c r="O9" s="224"/>
      <c r="P9" s="185"/>
      <c r="Q9" s="225"/>
      <c r="R9" s="182" t="s">
        <v>13713</v>
      </c>
      <c r="S9" s="181" t="str">
        <f t="shared" ca="1" si="3"/>
        <v>ID</v>
      </c>
      <c r="T9" s="181" t="str">
        <f ca="1">IF(B9="","",IF(ISERROR(MATCH($J9,[1]SorP!$B$1:$B$6279,0)),"",INDIRECT("'SorP'!$A$"&amp;MATCH($S9&amp;$J9,[1]SorP!C:C,0))))</f>
        <v>ID-BB</v>
      </c>
      <c r="U9" s="201"/>
      <c r="V9" s="226">
        <f>IF(C9="",NA(),IF(OR(C9="Smelter not listed",C9="Smelter not yet identified"),MATCH($B9&amp;$D9,'[1]Smelter Look-up'!$J:$J,0),MATCH($B9&amp;$C9,'[1]Smelter Look-up'!$J:$J,0)))</f>
        <v>514</v>
      </c>
      <c r="X9" s="227">
        <f t="shared" si="1"/>
        <v>0</v>
      </c>
      <c r="AB9" s="228" t="str">
        <f t="shared" si="2"/>
        <v>TinPT Timah Tbk Mentok</v>
      </c>
    </row>
    <row r="10" spans="1:34" s="227" customFormat="1" ht="19.899999999999999" customHeight="1">
      <c r="A10" s="262"/>
      <c r="B10" s="182" t="s">
        <v>1099</v>
      </c>
      <c r="C10" s="186" t="s">
        <v>15341</v>
      </c>
      <c r="D10" s="230"/>
      <c r="E10" s="182" t="s">
        <v>1064</v>
      </c>
      <c r="F10" s="182" t="s">
        <v>1772</v>
      </c>
      <c r="G10" s="182" t="s">
        <v>13177</v>
      </c>
      <c r="H10" s="183">
        <v>0</v>
      </c>
      <c r="I10" s="184" t="s">
        <v>1773</v>
      </c>
      <c r="J10" s="184" t="s">
        <v>3104</v>
      </c>
      <c r="K10" s="224"/>
      <c r="L10" s="224"/>
      <c r="M10" s="224"/>
      <c r="N10" s="224"/>
      <c r="O10" s="224"/>
      <c r="P10" s="185"/>
      <c r="Q10" s="225"/>
      <c r="R10" s="182" t="s">
        <v>15341</v>
      </c>
      <c r="S10" s="181" t="str">
        <f t="shared" ca="1" si="3"/>
        <v>BE</v>
      </c>
      <c r="T10" s="181" t="str">
        <f ca="1">IF(B10="","",IF(ISERROR(MATCH($J10,[1]SorP!$B$1:$B$6279,0)),"",INDIRECT("'SorP'!$A$"&amp;MATCH($S10&amp;$J10,[1]SorP!C:C,0))))</f>
        <v>BE-VAN</v>
      </c>
      <c r="U10" s="201"/>
      <c r="V10" s="226">
        <f>IF(C10="",NA(),IF(OR(C10="Smelter not listed",C10="Smelter not yet identified"),MATCH($B10&amp;$D10,'[1]Smelter Look-up'!$J:$J,0),MATCH($B10&amp;$C10,'[1]Smelter Look-up'!$J:$J,0)))</f>
        <v>394</v>
      </c>
      <c r="X10" s="227">
        <f t="shared" si="1"/>
        <v>0</v>
      </c>
      <c r="AB10" s="228" t="str">
        <f t="shared" si="2"/>
        <v>TinAurubis Beerse</v>
      </c>
    </row>
    <row r="11" spans="1:34" s="227" customFormat="1" ht="19.899999999999999" customHeight="1">
      <c r="A11" s="262"/>
      <c r="B11" s="182" t="s">
        <v>1099</v>
      </c>
      <c r="C11" s="186" t="s">
        <v>1003</v>
      </c>
      <c r="D11" s="230"/>
      <c r="E11" s="182" t="s">
        <v>851</v>
      </c>
      <c r="F11" s="182" t="s">
        <v>754</v>
      </c>
      <c r="G11" s="182" t="s">
        <v>13177</v>
      </c>
      <c r="H11" s="183">
        <v>0</v>
      </c>
      <c r="I11" s="184" t="s">
        <v>1743</v>
      </c>
      <c r="J11" s="184" t="s">
        <v>9062</v>
      </c>
      <c r="K11" s="224"/>
      <c r="L11" s="224"/>
      <c r="M11" s="224"/>
      <c r="N11" s="224"/>
      <c r="O11" s="224"/>
      <c r="P11" s="185"/>
      <c r="Q11" s="225"/>
      <c r="R11" s="182" t="s">
        <v>1003</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2"/>
        <v>TinMinsur</v>
      </c>
    </row>
    <row r="12" spans="1:34" s="227" customFormat="1" ht="30" customHeight="1">
      <c r="A12" s="262"/>
      <c r="B12" s="182" t="s">
        <v>1099</v>
      </c>
      <c r="C12" s="186" t="s">
        <v>13121</v>
      </c>
      <c r="D12" s="230"/>
      <c r="E12" s="182" t="s">
        <v>2384</v>
      </c>
      <c r="F12" s="182" t="s">
        <v>13122</v>
      </c>
      <c r="G12" s="182" t="s">
        <v>13177</v>
      </c>
      <c r="H12" s="183">
        <v>0</v>
      </c>
      <c r="I12" s="184" t="s">
        <v>13123</v>
      </c>
      <c r="J12" s="184" t="s">
        <v>1699</v>
      </c>
      <c r="K12" s="224"/>
      <c r="L12" s="224"/>
      <c r="M12" s="224"/>
      <c r="N12" s="224"/>
      <c r="O12" s="224"/>
      <c r="P12" s="185"/>
      <c r="Q12" s="225"/>
      <c r="R12" s="182" t="s">
        <v>13121</v>
      </c>
      <c r="S12" s="181" t="str">
        <f t="shared" ca="1" si="3"/>
        <v>US</v>
      </c>
      <c r="T12" s="181" t="str">
        <f ca="1">IF(B12="","",IF(ISERROR(MATCH($J12,[1]SorP!$B$1:$B$6279,0)),"",INDIRECT("'SorP'!$A$"&amp;MATCH($S12&amp;$J12,[1]SorP!C:C,0))))</f>
        <v>US-PA</v>
      </c>
      <c r="U12" s="201"/>
      <c r="V12" s="226">
        <f>IF(C12="",NA(),IF(OR(C12="Smelter not listed",C12="Smelter not yet identified"),MATCH($B12&amp;$D12,'[1]Smelter Look-up'!$J:$J,0),MATCH($B12&amp;$C12,'[1]Smelter Look-up'!$J:$J,0)))</f>
        <v>530</v>
      </c>
      <c r="X12" s="227">
        <f t="shared" si="1"/>
        <v>0</v>
      </c>
      <c r="AB12" s="228" t="str">
        <f t="shared" si="2"/>
        <v>TinTin Technology &amp; Refining</v>
      </c>
    </row>
    <row r="13" spans="1:34" s="227" customFormat="1" ht="35.25" customHeight="1">
      <c r="A13" s="262"/>
      <c r="B13" s="182" t="s">
        <v>1099</v>
      </c>
      <c r="C13" s="186" t="s">
        <v>814</v>
      </c>
      <c r="D13" s="230"/>
      <c r="E13" s="182" t="s">
        <v>2382</v>
      </c>
      <c r="F13" s="182" t="s">
        <v>745</v>
      </c>
      <c r="G13" s="182" t="s">
        <v>13177</v>
      </c>
      <c r="H13" s="183">
        <v>0</v>
      </c>
      <c r="I13" s="184" t="s">
        <v>1728</v>
      </c>
      <c r="J13" s="184" t="s">
        <v>1728</v>
      </c>
      <c r="K13" s="224"/>
      <c r="L13" s="224"/>
      <c r="M13" s="224"/>
      <c r="N13" s="224"/>
      <c r="O13" s="224"/>
      <c r="P13" s="185"/>
      <c r="Q13" s="225"/>
      <c r="R13" s="182" t="s">
        <v>814</v>
      </c>
      <c r="S13" s="181" t="str">
        <f t="shared" ca="1" si="3"/>
        <v>BO</v>
      </c>
      <c r="T13" s="181" t="str">
        <f ca="1">IF(B13="","",IF(ISERROR(MATCH($J13,[1]SorP!$B$1:$B$6279,0)),"",INDIRECT("'SorP'!$A$"&amp;MATCH($S13&amp;$J13,[1]SorP!C:C,0))))</f>
        <v>BO-O</v>
      </c>
      <c r="U13" s="201"/>
      <c r="V13" s="226">
        <f>IF(C13="",NA(),IF(OR(C13="Smelter not listed",C13="Smelter not yet identified"),MATCH($B13&amp;$D13,'[1]Smelter Look-up'!$J:$J,0),MATCH($B13&amp;$C13,'[1]Smelter Look-up'!$J:$J,0)))</f>
        <v>421</v>
      </c>
      <c r="X13" s="227">
        <f t="shared" si="1"/>
        <v>0</v>
      </c>
      <c r="AB13" s="228" t="str">
        <f t="shared" si="2"/>
        <v>TinEM Vinto</v>
      </c>
    </row>
    <row r="14" spans="1:34" s="227" customFormat="1" ht="19.899999999999999" customHeight="1">
      <c r="A14" s="262"/>
      <c r="B14" s="182" t="s">
        <v>1099</v>
      </c>
      <c r="C14" s="186" t="s">
        <v>1759</v>
      </c>
      <c r="D14" s="230"/>
      <c r="E14" s="182" t="s">
        <v>1065</v>
      </c>
      <c r="F14" s="182" t="s">
        <v>764</v>
      </c>
      <c r="G14" s="182" t="s">
        <v>13177</v>
      </c>
      <c r="H14" s="183">
        <v>0</v>
      </c>
      <c r="I14" s="184" t="s">
        <v>1725</v>
      </c>
      <c r="J14" s="184" t="s">
        <v>1729</v>
      </c>
      <c r="K14" s="224"/>
      <c r="L14" s="224"/>
      <c r="M14" s="224"/>
      <c r="N14" s="224"/>
      <c r="O14" s="224"/>
      <c r="P14" s="185"/>
      <c r="Q14" s="225"/>
      <c r="R14" s="182" t="s">
        <v>2484</v>
      </c>
      <c r="S14" s="181" t="str">
        <f t="shared" ca="1" si="3"/>
        <v>BR</v>
      </c>
      <c r="T14" s="181" t="str">
        <f ca="1">IF(B14="","",IF(ISERROR(MATCH($J14,[1]SorP!$B$1:$B$6279,0)),"",INDIRECT("'SorP'!$A$"&amp;MATCH($S14&amp;$J14,[1]SorP!C:C,0))))</f>
        <v>BR-RO</v>
      </c>
      <c r="U14" s="201"/>
      <c r="V14" s="226">
        <f>IF(C14="",NA(),IF(OR(C14="Smelter not listed",C14="Smelter not yet identified"),MATCH($B14&amp;$D14,'[1]Smelter Look-up'!$J:$J,0),MATCH($B14&amp;$C14,'[1]Smelter Look-up'!$J:$J,0)))</f>
        <v>537</v>
      </c>
      <c r="X14" s="227">
        <f t="shared" si="1"/>
        <v>0</v>
      </c>
      <c r="AB14" s="228" t="str">
        <f t="shared" si="2"/>
        <v>TinWhite Solder Metalurgica</v>
      </c>
    </row>
    <row r="15" spans="1:34" s="227" customFormat="1" ht="20.100000000000001" customHeight="1">
      <c r="A15" s="262"/>
      <c r="B15" s="182" t="s">
        <v>1099</v>
      </c>
      <c r="C15" s="186" t="s">
        <v>15346</v>
      </c>
      <c r="D15" s="230"/>
      <c r="E15" s="182" t="str">
        <f ca="1">IF(ISERROR($V15),"",OFFSET('Smelter Look-up'!$D$4,$V15-4,0)&amp;"")</f>
        <v>CONGO, DEMOCRATIC REPUBLIC OF THE</v>
      </c>
      <c r="F15" s="182" t="str">
        <f ca="1">IF(ISERROR($V15),"",OFFSET('Smelter Look-up'!$E$4,$V15-4,0))</f>
        <v>CID004065</v>
      </c>
      <c r="G15" s="182" t="str">
        <f ca="1">IF(C15=$X$4,IF(ISERROR($V15),"Enter smelter details","RMI"),IF(ISERROR($V15),"",OFFSET('Smelter Look-up'!$F$4,$V15-4,0)))</f>
        <v>RMI</v>
      </c>
      <c r="H15" s="183">
        <f ca="1">IF(ISERROR($V15),"",OFFSET('Smelter Look-up'!$G$4,$V15-4,0))</f>
        <v>0</v>
      </c>
      <c r="I15" s="184" t="str">
        <f ca="1">IF(ISERROR($V15),"",OFFSET('Smelter Look-up'!$H$4,$V15-4,0))</f>
        <v>Lubumbashi</v>
      </c>
      <c r="J15" s="184" t="str">
        <f ca="1">IF(ISERROR($V15),"",OFFSET('Smelter Look-up'!$I$4,$V15-4,0))</f>
        <v>Haut-Katanga</v>
      </c>
      <c r="K15" s="224"/>
      <c r="L15" s="224"/>
      <c r="M15" s="224"/>
      <c r="N15" s="224"/>
      <c r="O15" s="224"/>
      <c r="P15" s="185"/>
      <c r="Q15" s="225"/>
      <c r="R15" s="182" t="str">
        <f ca="1">IF(ISERROR($V15),"",OFFSET('Smelter Look-up'!$C$4,$V15-4,0)&amp;"")</f>
        <v>Mining Minerals Resources SARL</v>
      </c>
      <c r="S15" s="181" t="str">
        <f t="shared" ref="S15:S37" ca="1" si="4">IF(B15="","",IF(ISERROR(MATCH($E15,CL,0)),"Unknown",INDIRECT("'C'!$A$"&amp;MATCH($E15,CL,0)+1)))</f>
        <v>CD</v>
      </c>
      <c r="T15" s="181" t="str">
        <f ca="1">IF(B15="","",IF(ISERROR(MATCH($J15,SorP!$B$1:$B$6226,0)),"",INDIRECT("'SorP'!$A$"&amp;MATCH($S15&amp;$J15,SorP!C:C,0))))</f>
        <v>CD-HK</v>
      </c>
      <c r="U15" s="201"/>
      <c r="V15" s="226">
        <f>IF(C15="",NA(),IF(OR(C15="Smelter not listed",C15="Smelter not yet identified"),MATCH($B15&amp;$D15,'Smelter Look-up'!$J:$J,0),MATCH($B15&amp;$C15,'Smelter Look-up'!$J:$J,0)))</f>
        <v>480</v>
      </c>
      <c r="X15" s="227">
        <f t="shared" ref="X15:X37" ca="1" si="5">IF(AND(C15="Smelter not listed",OR(LEN(D15)=0,LEN(E15)=0)),1,0)</f>
        <v>0</v>
      </c>
      <c r="AB15" s="228" t="str">
        <f t="shared" ref="AB15:AB37" si="6">B15&amp;C15</f>
        <v>TinMining Minerals Resources SARL</v>
      </c>
    </row>
    <row r="16" spans="1:34" s="227" customFormat="1" ht="20.100000000000001" customHeight="1">
      <c r="A16" s="262"/>
      <c r="B16" s="182" t="s">
        <v>1099</v>
      </c>
      <c r="C16" s="186" t="s">
        <v>2121</v>
      </c>
      <c r="D16" s="230"/>
      <c r="E16" s="182" t="str">
        <f ca="1">IF(ISERROR($V16),"",OFFSET('Smelter Look-up'!$D$4,$V16-4,0)&amp;"")</f>
        <v>BRAZIL</v>
      </c>
      <c r="F16" s="182" t="str">
        <f ca="1">IF(ISERROR($V16),"",OFFSET('Smelter Look-up'!$E$4,$V16-4,0))</f>
        <v>CID002468</v>
      </c>
      <c r="G16" s="182" t="str">
        <f ca="1">IF(C16=$X$4,IF(ISERROR($V16),"Enter smelter details","RMI"),IF(ISERROR($V16),"",OFFSET('Smelter Look-up'!$F$4,$V16-4,0)))</f>
        <v>RMI</v>
      </c>
      <c r="H16" s="183">
        <f ca="1">IF(ISERROR($V16),"",OFFSET('Smelter Look-up'!$G$4,$V16-4,0))</f>
        <v>0</v>
      </c>
      <c r="I16" s="184" t="str">
        <f ca="1">IF(ISERROR($V16),"",OFFSET('Smelter Look-up'!$H$4,$V16-4,0))</f>
        <v>São João del Rei</v>
      </c>
      <c r="J16" s="184" t="str">
        <f ca="1">IF(ISERROR($V16),"",OFFSET('Smelter Look-up'!$I$4,$V16-4,0))</f>
        <v>Minas Gerais</v>
      </c>
      <c r="K16" s="224"/>
      <c r="L16" s="224"/>
      <c r="M16" s="224"/>
      <c r="N16" s="224"/>
      <c r="O16" s="224"/>
      <c r="P16" s="185"/>
      <c r="Q16" s="225"/>
      <c r="R16" s="182" t="str">
        <f ca="1">IF(ISERROR($V16),"",OFFSET('Smelter Look-up'!$C$4,$V16-4,0)&amp;"")</f>
        <v>Magnu's Minerais Metais e Ligas Ltda.</v>
      </c>
      <c r="S16" s="181" t="str">
        <f t="shared" ca="1" si="4"/>
        <v>BR</v>
      </c>
      <c r="T16" s="181" t="str">
        <f ca="1">IF(B16="","",IF(ISERROR(MATCH($J16,SorP!$B$1:$B$6226,0)),"",INDIRECT("'SorP'!$A$"&amp;MATCH($S16&amp;$J16,SorP!C:C,0))))</f>
        <v>BR-MG</v>
      </c>
      <c r="U16" s="201"/>
      <c r="V16" s="226">
        <f>IF(C16="",NA(),IF(OR(C16="Smelter not listed",C16="Smelter not yet identified"),MATCH($B16&amp;$D16,'Smelter Look-up'!$J:$J,0),MATCH($B16&amp;$C16,'Smelter Look-up'!$J:$J,0)))</f>
        <v>467</v>
      </c>
      <c r="X16" s="227">
        <f t="shared" ca="1" si="5"/>
        <v>0</v>
      </c>
      <c r="AB16" s="228" t="str">
        <f t="shared" si="6"/>
        <v>TinMagnu's Minerais Metais e Ligas Ltda.</v>
      </c>
    </row>
    <row r="17" spans="1:28" s="227" customFormat="1" ht="20.100000000000001" customHeight="1">
      <c r="A17" s="262"/>
      <c r="B17" s="182" t="s">
        <v>1099</v>
      </c>
      <c r="C17" s="186" t="s">
        <v>2093</v>
      </c>
      <c r="D17" s="230"/>
      <c r="E17" s="182" t="str">
        <f ca="1">IF(ISERROR($V17),"",OFFSET('Smelter Look-up'!$D$4,$V17-4,0)&amp;"")</f>
        <v>BOLIVIA (PLURINATIONAL STATE OF)</v>
      </c>
      <c r="F17" s="182" t="str">
        <f ca="1">IF(ISERROR($V17),"",OFFSET('Smelter Look-up'!$E$4,$V17-4,0))</f>
        <v>CID001337</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Operaciones Metalurgicas S.A.</v>
      </c>
      <c r="S17" s="181" t="str">
        <f t="shared" ca="1" si="4"/>
        <v>BO</v>
      </c>
      <c r="T17" s="181" t="str">
        <f ca="1">IF(B17="","",IF(ISERROR(MATCH($J17,SorP!$B$1:$B$6226,0)),"",INDIRECT("'SorP'!$A$"&amp;MATCH($S17&amp;$J17,SorP!C:C,0))))</f>
        <v>BO-O</v>
      </c>
      <c r="U17" s="201"/>
      <c r="V17" s="226">
        <f>IF(C17="",NA(),IF(OR(C17="Smelter not listed",C17="Smelter not yet identified"),MATCH($B17&amp;$D17,'Smelter Look-up'!$J:$J,0),MATCH($B17&amp;$C17,'Smelter Look-up'!$J:$J,0)))</f>
        <v>492</v>
      </c>
      <c r="X17" s="227">
        <f t="shared" ca="1" si="5"/>
        <v>0</v>
      </c>
      <c r="AB17" s="228" t="str">
        <f t="shared" si="6"/>
        <v>TinOMSA</v>
      </c>
    </row>
    <row r="18" spans="1:28" s="227" customFormat="1" ht="20.100000000000001" customHeight="1">
      <c r="A18" s="181"/>
      <c r="B18" s="182" t="s">
        <v>1099</v>
      </c>
      <c r="C18" s="186" t="s">
        <v>15624</v>
      </c>
      <c r="D18" s="230"/>
      <c r="E18" s="182" t="str">
        <f ca="1">IF(ISERROR($V18),"",OFFSET('Smelter Look-up'!$D$4,$V18-4,0)&amp;"")</f>
        <v>INDONESIA</v>
      </c>
      <c r="F18" s="182" t="str">
        <f ca="1">IF(ISERROR($V18),"",OFFSET('Smelter Look-up'!$E$4,$V18-4,0))</f>
        <v>CID002593</v>
      </c>
      <c r="G18" s="182" t="str">
        <f ca="1">IF(C18=$X$4,IF(ISERROR($V18),"Enter smelter details","RMI"),IF(ISERROR($V18),"",OFFSET('Smelter Look-up'!$F$4,$V18-4,0)))</f>
        <v>RMI</v>
      </c>
      <c r="H18" s="183">
        <f ca="1">IF(ISERROR($V18),"",OFFSET('Smelter Look-up'!$G$4,$V18-4,0))</f>
        <v>0</v>
      </c>
      <c r="I18" s="184" t="str">
        <f ca="1">IF(ISERROR($V18),"",OFFSET('Smelter Look-up'!$H$4,$V18-4,0))</f>
        <v>Pangkal Pinang</v>
      </c>
      <c r="J18" s="184" t="str">
        <f ca="1">IF(ISERROR($V18),"",OFFSET('Smelter Look-up'!$I$4,$V18-4,0))</f>
        <v>Kepulauan Bangka Belitung</v>
      </c>
      <c r="K18" s="224"/>
      <c r="L18" s="224"/>
      <c r="M18" s="224"/>
      <c r="N18" s="224"/>
      <c r="O18" s="224"/>
      <c r="P18" s="185"/>
      <c r="Q18" s="225"/>
      <c r="R18" s="182" t="str">
        <f ca="1">IF(ISERROR($V18),"",OFFSET('Smelter Look-up'!$C$4,$V18-4,0)&amp;"")</f>
        <v>PT Rajehan Ariq</v>
      </c>
      <c r="S18" s="181" t="str">
        <f t="shared" ca="1" si="4"/>
        <v>ID</v>
      </c>
      <c r="T18" s="181" t="str">
        <f ca="1">IF(B18="","",IF(ISERROR(MATCH($J18,SorP!$B$1:$B$6226,0)),"",INDIRECT("'SorP'!$A$"&amp;MATCH($S18&amp;$J18,SorP!C:C,0))))</f>
        <v>ID-BB</v>
      </c>
      <c r="U18" s="201"/>
      <c r="V18" s="226">
        <f>IF(C18="",NA(),IF(OR(C18="Smelter not listed",C18="Smelter not yet identified"),MATCH($B18&amp;$D18,'Smelter Look-up'!$J:$J,0),MATCH($B18&amp;$C18,'Smelter Look-up'!$J:$J,0)))</f>
        <v>507</v>
      </c>
      <c r="X18" s="227">
        <f t="shared" ca="1" si="5"/>
        <v>0</v>
      </c>
      <c r="AB18" s="228" t="str">
        <f t="shared" si="6"/>
        <v>TinPT Rajehan Ariq</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1F21675-56A3-4115-A27B-3E8AE69D8B2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Nathan Trotter &amp; Co.</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Ben Etherington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ben@nathantrotter.com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6105241440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 Etherington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ben@nathantrotter.com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https://nathantrotter.com/resources/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Brauch</cp:lastModifiedBy>
  <cp:lastPrinted>2015-04-21T20:47:43Z</cp:lastPrinted>
  <dcterms:created xsi:type="dcterms:W3CDTF">2010-06-21T21:00:23Z</dcterms:created>
  <dcterms:modified xsi:type="dcterms:W3CDTF">2025-08-29T16:28:36Z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