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13_ncr:1_{44BC0A59-B9FF-46EB-881A-75AD94C563BE}"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V6" i="5"/>
  <c r="E6" i="5"/>
  <c r="X6" i="5"/>
  <c r="J6" i="5"/>
  <c r="S6" i="5"/>
  <c r="T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<sst xmlns="http://schemas.openxmlformats.org/spreadsheetml/2006/main" count="28487" uniqueCount="20169">
  <si>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</si>
  <si>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</si>
  <si>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</si>
  <si>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</si>
  <si>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</si>
  <si>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</si>
  <si>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</si>
  <si>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</si>
  <si>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</si>
  <si>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</si>
  <si>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</si>
  <si>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</si>
  <si>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</si>
  <si>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</si>
  <si>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</si>
  <si>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</si>
  <si>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</si>
  <si>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</si>
  <si>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</si>
  <si>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</si>
  <si>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</si>
  <si>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</si>
  <si>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</si>
  <si>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</si>
  <si>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</si>
  <si>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</si>
  <si>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</si>
  <si>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</si>
  <si>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</si>
  <si>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</si>
  <si>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</si>
  <si>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</si>
  <si>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</si>
  <si>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</si>
  <si>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</si>
  <si>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</si>
  <si>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</si>
  <si>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</si>
  <si>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</si>
  <si>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</si>
  <si>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</si>
  <si>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</si>
  <si>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</si>
  <si>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</si>
  <si>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</si>
  <si>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</si>
  <si>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</si>
  <si>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</si>
  <si>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</si>
  <si>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</si>
  <si>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</si>
  <si>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</si>
  <si>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</si>
  <si>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</si>
  <si>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</si>
  <si>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</si>
  <si>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</si>
  <si>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</si>
  <si>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</si>
  <si>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</si>
  <si>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</si>
  <si>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</si>
  <si>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</si>
  <si>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</si>
  <si>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</si>
  <si>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</si>
  <si>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</si>
  <si>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</si>
  <si>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</si>
  <si>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</si>
  <si>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</si>
  <si>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</si>
  <si>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</si>
  <si>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</si>
  <si>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</si>
  <si>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</si>
  <si>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</si>
  <si>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</si>
  <si>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</si>
  <si>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</si>
  <si>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</si>
  <si>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</si>
  <si>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</si>
  <si>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</si>
  <si>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</si>
  <si>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</si>
  <si>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</si>
  <si>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</si>
  <si>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</si>
  <si>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</si>
  <si>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</si>
  <si>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</si>
  <si>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</si>
  <si>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</si>
  <si>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</si>
  <si>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</si>
  <si>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</si>
  <si>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</si>
  <si>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</si>
  <si>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</si>
  <si>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</si>
  <si>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</si>
  <si>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</si>
  <si>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</si>
  <si>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</si>
  <si>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</si>
  <si>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</si>
  <si>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</si>
  <si>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</si>
  <si>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</si>
  <si>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</si>
  <si>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</si>
  <si>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</si>
  <si>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</si>
  <si>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</si>
  <si>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</si>
  <si>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</si>
  <si>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</si>
  <si>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</si>
  <si>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</si>
  <si>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</si>
  <si>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</si>
  <si>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</si>
  <si>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</si>
  <si>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</si>
  <si>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</si>
  <si>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</si>
  <si>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</si>
  <si>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</si>
  <si>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</si>
  <si>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</si>
  <si>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</si>
  <si>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</si>
  <si>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</si>
  <si>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</si>
  <si>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</si>
  <si>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</si>
  <si>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</si>
  <si>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</si>
  <si>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</si>
  <si>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</si>
  <si>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</si>
  <si>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</si>
  <si>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</si>
  <si>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</si>
  <si>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</si>
  <si>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</si>
  <si>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</si>
  <si>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</si>
  <si>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</si>
  <si>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</si>
  <si>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</si>
  <si>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</si>
  <si>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</si>
  <si>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</si>
  <si>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</si>
  <si>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</si>
  <si>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</si>
  <si>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</si>
  <si>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</si>
  <si>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</si>
  <si>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</si>
  <si>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</si>
  <si>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</si>
  <si>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</si>
  <si>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</si>
  <si>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</si>
  <si>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</si>
  <si>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</si>
  <si>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</si>
  <si>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</si>
  <si>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</si>
  <si>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</si>
  <si>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</si>
  <si>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</si>
  <si>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</si>
  <si>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</si>
  <si>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</si>
  <si>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</si>
  <si>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</si>
  <si>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</si>
  <si>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</si>
  <si>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</si>
  <si>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</si>
  <si>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</si>
  <si>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</si>
  <si>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</si>
  <si>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</si>
  <si>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</si>
  <si>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</si>
  <si>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</si>
  <si>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</si>
  <si>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</si>
  <si>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</si>
  <si>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</si>
  <si>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</si>
  <si>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</si>
  <si>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</si>
  <si>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</si>
  <si>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</si>
  <si>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</si>
  <si>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</si>
  <si>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</si>
  <si>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</si>
  <si>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</si>
  <si>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</si>
  <si>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</si>
  <si>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</si>
  <si>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</si>
  <si>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</si>
  <si>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</si>
  <si>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</si>
  <si>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</si>
  <si>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</si>
  <si>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</si>
  <si>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</si>
  <si>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</si>
  <si>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</si>
  <si>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</si>
  <si>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</si>
  <si>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</si>
  <si>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</si>
  <si>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</si>
  <si>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</si>
  <si>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</si>
  <si>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</si>
  <si>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</si>
  <si>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</si>
  <si>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</si>
  <si>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</si>
  <si>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</si>
  <si>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</si>
  <si>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</si>
  <si>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</si>
  <si>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</si>
  <si>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</si>
  <si>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</si>
  <si>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</si>
  <si>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</si>
  <si>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</si>
  <si>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</si>
  <si>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</si>
  <si>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</si>
  <si>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</si>
  <si>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</si>
  <si>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</si>
  <si>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</si>
  <si>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</si>
  <si>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</si>
  <si>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</si>
  <si>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</si>
  <si>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</si>
  <si>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</si>
  <si>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</si>
  <si>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</si>
  <si>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</si>
  <si>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</si>
  <si>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</si>
  <si>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</si>
  <si>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</si>
  <si>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</si>
  <si>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</si>
  <si>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</si>
  <si>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</si>
  <si>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</si>
  <si>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</si>
  <si>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</si>
  <si>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</si>
  <si>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</si>
  <si>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</si>
  <si>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</si>
  <si>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</si>
  <si>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</si>
  <si>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</si>
  <si>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</si>
  <si>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</si>
  <si>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</si>
  <si>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</si>
  <si>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</si>
  <si>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</si>
  <si>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</si>
  <si>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</si>
  <si>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</si>
  <si>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</si>
  <si>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</si>
  <si>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</si>
  <si>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</si>
  <si>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</si>
  <si>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</si>
  <si>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</si>
  <si>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</si>
  <si>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</si>
  <si>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</si>
  <si>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</si>
  <si>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</si>
  <si>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</si>
  <si>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</si>
  <si>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</si>
  <si>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</si>
  <si>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</si>
  <si>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</si>
  <si>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</si>
  <si>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</si>
  <si>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</si>
  <si>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</si>
  <si>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</si>
  <si>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</si>
  <si>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</si>
  <si>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</si>
  <si>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</si>
  <si>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</si>
  <si>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</si>
  <si>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</si>
  <si>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</si>
  <si>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</si>
  <si>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</si>
  <si>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</si>
  <si>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</si>
  <si>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</si>
  <si>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</si>
  <si>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</si>
  <si>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</si>
  <si>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</si>
  <si>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</si>
  <si>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</si>
  <si>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</si>
  <si>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</si>
  <si>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</si>
  <si>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</si>
  <si>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</si>
  <si>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</si>
  <si>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</si>
  <si>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</si>
  <si>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</si>
  <si>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</si>
  <si>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</si>
  <si>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</si>
  <si>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</si>
  <si>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</si>
  <si>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</si>
  <si>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</si>
  <si>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</si>
  <si>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</si>
  <si>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</si>
  <si>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</si>
  <si>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</si>
  <si>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</si>
  <si>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</si>
  <si>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</si>
  <si>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</si>
  <si>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</si>
  <si>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</si>
  <si>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</si>
  <si>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</si>
  <si>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</si>
  <si>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</si>
  <si>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</si>
  <si>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</si>
  <si>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</si>
  <si>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</si>
  <si>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</si>
  <si>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</si>
  <si>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</si>
  <si>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</si>
  <si>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</si>
  <si>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</si>
  <si>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</si>
  <si>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</si>
  <si>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</si>
  <si>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</si>
  <si>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</si>
  <si>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</si>
  <si>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</si>
  <si>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</si>
  <si>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</si>
  <si>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</si>
  <si>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</si>
  <si>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</si>
  <si>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</si>
  <si>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</si>
  <si>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</si>
  <si>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</si>
  <si>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</si>
  <si>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</si>
  <si>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</si>
  <si>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</si>
  <si>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</si>
  <si>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</si>
  <si>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</si>
  <si>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</si>
  <si>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</si>
  <si>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</si>
  <si>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</si>
  <si>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</si>
  <si>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</si>
  <si>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</si>
  <si>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</si>
  <si>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</si>
  <si>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</si>
  <si>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</si>
  <si>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</si>
  <si>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</si>
  <si>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</si>
  <si>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</si>
  <si>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</si>
  <si>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</si>
  <si>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</si>
  <si>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</si>
  <si>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</si>
  <si>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</si>
  <si>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</si>
  <si>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</si>
  <si>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</si>
  <si>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</si>
  <si>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</si>
  <si>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</si>
  <si>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</si>
  <si>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</si>
  <si>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</si>
  <si>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</si>
  <si>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</si>
  <si>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</si>
  <si>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</si>
  <si>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</si>
  <si>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</si>
  <si>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</si>
  <si>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</si>
  <si>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</si>
  <si>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</si>
  <si>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</si>
  <si>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</si>
  <si>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</si>
  <si>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</si>
  <si>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</si>
  <si>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</si>
  <si>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</si>
  <si>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</si>
  <si>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</si>
  <si>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</si>
  <si>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</si>
  <si>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</si>
  <si>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</si>
  <si>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</si>
  <si>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</si>
  <si>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</si>
  <si>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</si>
  <si>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</si>
  <si>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</si>
  <si>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</si>
  <si>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</si>
  <si>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</si>
  <si>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</si>
  <si>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</si>
  <si>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</si>
  <si>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</si>
  <si>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</si>
  <si>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</si>
  <si>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</si>
  <si>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</si>
  <si>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</si>
  <si>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</si>
  <si>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</si>
  <si>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</si>
  <si>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</si>
  <si>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</si>
  <si>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</si>
  <si>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</si>
  <si>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</si>
  <si>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</si>
  <si>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</si>
  <si>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</si>
  <si>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</si>
  <si>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</si>
  <si>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</si>
  <si>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</si>
  <si>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</si>
  <si>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</si>
  <si>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</si>
  <si>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</si>
  <si>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</si>
  <si>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</si>
  <si>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</si>
  <si>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</si>
  <si>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</si>
  <si>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</si>
  <si>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</si>
  <si>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</si>
  <si>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</si>
  <si>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</si>
  <si>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</si>
  <si>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</si>
  <si>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</si>
  <si>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</si>
  <si>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</si>
  <si>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</si>
  <si>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</si>
  <si>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</si>
  <si>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</si>
  <si>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</si>
  <si>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</si>
  <si>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</si>
  <si>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</si>
  <si>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</si>
  <si>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</si>
  <si>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</si>
  <si>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</si>
  <si>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</si>
  <si>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</si>
  <si>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</si>
  <si>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</si>
  <si>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</si>
  <si>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</si>
  <si>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</si>
  <si>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</si>
  <si>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</si>
  <si>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</si>
  <si>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</si>
  <si>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</si>
  <si>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</si>
  <si>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</si>
  <si>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</si>
  <si>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</si>
  <si>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</si>
  <si>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</si>
  <si>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</si>
  <si>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</si>
  <si>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</si>
  <si>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</si>
  <si>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</si>
  <si>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</si>
  <si>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</si>
  <si>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</si>
  <si>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</si>
  <si>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</si>
  <si>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</si>
  <si>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</si>
  <si>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</si>
  <si>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</si>
  <si>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</si>
  <si>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</si>
  <si>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</si>
  <si>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</si>
  <si>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</si>
  <si>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</si>
  <si>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</si>
  <si>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</si>
  <si>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</si>
  <si>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</si>
  <si>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</si>
  <si>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</si>
  <si>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</si>
  <si>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</si>
  <si>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</si>
  <si>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</si>
  <si>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</si>
  <si>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</si>
  <si>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</si>
  <si>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</si>
  <si>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</si>
  <si>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</si>
  <si>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</si>
  <si>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</si>
  <si>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</si>
  <si>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</si>
  <si>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</si>
  <si>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</si>
  <si>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</si>
  <si>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</si>
  <si>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</si>
  <si>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</si>
  <si>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</si>
  <si>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</si>
  <si>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</si>
  <si>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</si>
  <si>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</si>
  <si>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</si>
  <si>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</si>
  <si>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</si>
  <si>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</si>
  <si>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</si>
  <si>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</si>
  <si>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</si>
  <si>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</si>
  <si>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</si>
  <si>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</si>
  <si>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</si>
  <si>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</si>
  <si>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</si>
  <si>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</si>
  <si>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</si>
  <si>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</si>
  <si>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</si>
  <si>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</si>
  <si>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</si>
  <si>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</si>
  <si>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</si>
  <si>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</si>
  <si>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</si>
  <si>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</si>
  <si>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</si>
  <si>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</si>
  <si>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</si>
  <si>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</si>
  <si>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</si>
  <si>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</si>
  <si>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</si>
  <si>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</si>
  <si>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</si>
  <si>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</si>
  <si>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</si>
  <si>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</si>
  <si>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</si>
  <si>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</si>
  <si>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</si>
  <si>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</si>
  <si>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</si>
  <si>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</si>
  <si>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</si>
  <si>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</si>
  <si>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</si>
  <si>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</si>
  <si>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</si>
  <si>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</si>
  <si>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</si>
  <si>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</si>
  <si>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</si>
  <si>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</si>
  <si>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</si>
  <si>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</si>
  <si>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</si>
  <si>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</si>
  <si>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</si>
  <si>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</si>
  <si>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</si>
  <si>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</si>
  <si>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</si>
  <si>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</si>
  <si>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</si>
  <si>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</si>
  <si>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</si>
  <si>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</si>
  <si>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</si>
  <si>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</si>
  <si>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</si>
  <si>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</si>
  <si>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</si>
  <si>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</si>
  <si>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</si>
  <si>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</si>
  <si>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</si>
  <si>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</si>
  <si>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</si>
  <si>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</si>
  <si>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</si>
  <si>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</si>
  <si>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</si>
  <si>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</si>
  <si>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</si>
  <si>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</si>
  <si>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</si>
  <si>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</si>
  <si>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</si>
  <si>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</si>
  <si>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</si>
  <si>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</si>
  <si>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</si>
  <si>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</si>
  <si>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</si>
  <si>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</si>
  <si>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</si>
  <si>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</si>
  <si>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</si>
  <si>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</si>
  <si>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</si>
  <si>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</si>
  <si>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</si>
  <si>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</si>
  <si>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</si>
  <si>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</si>
  <si>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</si>
  <si>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</si>
  <si>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</si>
  <si>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</si>
  <si>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</si>
  <si>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</si>
  <si>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</si>
  <si>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</si>
  <si>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</si>
  <si>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</si>
  <si>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</si>
  <si>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</si>
  <si>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</si>
  <si>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</si>
  <si>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</si>
  <si>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</si>
  <si>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</si>
  <si>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</si>
  <si>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</si>
  <si>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</si>
  <si>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</si>
  <si>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</si>
  <si>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</si>
  <si>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</si>
  <si>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</si>
  <si>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</si>
  <si>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</si>
  <si>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</si>
  <si>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</si>
  <si>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</si>
  <si>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</si>
  <si>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</si>
  <si>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</si>
  <si>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</si>
  <si>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</si>
  <si>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</si>
  <si>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</si>
  <si>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</si>
  <si>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</si>
  <si>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</si>
  <si>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</si>
  <si>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</si>
  <si>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</si>
  <si>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</si>
  <si>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</si>
  <si>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</si>
  <si>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</si>
  <si>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</si>
  <si>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</si>
  <si>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</si>
  <si>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</si>
  <si>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</si>
  <si>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</si>
  <si>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</si>
  <si>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</si>
  <si>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</si>
  <si>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</si>
  <si>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</si>
  <si>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</si>
  <si>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</si>
  <si>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</si>
  <si>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</si>
  <si>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</si>
  <si>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</si>
  <si>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</si>
  <si>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</si>
  <si>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</si>
  <si>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</si>
  <si>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</si>
  <si>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</si>
  <si>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</si>
  <si>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</si>
  <si>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</si>
  <si>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</si>
  <si>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</si>
  <si>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</si>
  <si>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</si>
  <si>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</si>
  <si>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</si>
  <si>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</si>
  <si>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</si>
  <si>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</si>
  <si>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</si>
  <si>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</si>
  <si>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</si>
  <si>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</si>
  <si>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</si>
  <si>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</si>
  <si>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</si>
  <si>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</si>
  <si>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</si>
  <si>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</si>
  <si>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</si>
  <si>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</si>
  <si>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</si>
  <si>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</si>
  <si>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</si>
  <si>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</si>
  <si>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</si>
  <si>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</si>
  <si>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</si>
  <si>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</si>
  <si>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</si>
  <si>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</si>
  <si>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</si>
  <si>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</si>
  <si>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</si>
  <si>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</si>
  <si>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</si>
  <si>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</si>
  <si>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</si>
  <si>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</si>
  <si>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</si>
  <si>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</si>
  <si>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</si>
  <si>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</si>
  <si>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</si>
  <si>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</si>
  <si>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</si>
  <si>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</si>
  <si>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</si>
  <si>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</si>
  <si>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</si>
  <si>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</si>
  <si>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</si>
  <si>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</si>
  <si>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</si>
  <si>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</si>
  <si>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</si>
  <si>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</si>
  <si>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</si>
  <si>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</si>
  <si>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</si>
  <si>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</si>
  <si>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</si>
  <si>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</si>
  <si>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</si>
  <si>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</si>
  <si>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</si>
  <si>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</si>
  <si>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</si>
  <si>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</si>
  <si>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</si>
  <si>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</si>
  <si>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</si>
  <si>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</si>
  <si>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</si>
  <si>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</si>
  <si>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</si>
  <si>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</si>
  <si>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</si>
  <si>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</si>
  <si>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</si>
  <si>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</si>
  <si>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</si>
  <si>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</si>
  <si>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</si>
  <si>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</si>
  <si>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</si>
  <si>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</si>
  <si>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</si>
  <si>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</si>
  <si>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</si>
  <si>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</si>
  <si>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</si>
  <si>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</si>
  <si>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</si>
  <si>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</si>
  <si>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</si>
  <si>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</si>
  <si>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</si>
  <si>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</si>
  <si>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</si>
  <si>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</si>
  <si>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</si>
  <si>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</si>
  <si>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</si>
  <si>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</si>
  <si>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</si>
  <si>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</si>
  <si>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</si>
  <si>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</si>
  <si>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</si>
  <si>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</si>
  <si>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</si>
  <si>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</si>
  <si>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</si>
  <si>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</si>
  <si>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</si>
  <si>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</si>
  <si>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</si>
  <si>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</si>
  <si>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</si>
  <si>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</si>
  <si>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</si>
  <si>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</si>
  <si>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</si>
  <si>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</si>
  <si>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</si>
  <si>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</si>
  <si>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</si>
  <si>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</si>
  <si>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</si>
  <si>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</si>
  <si>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</si>
  <si>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</si>
  <si>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</si>
  <si>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</si>
  <si>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</si>
  <si>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</si>
  <si>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</si>
  <si>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</si>
  <si>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</si>
  <si>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</si>
  <si>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</si>
  <si>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</si>
  <si>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</si>
  <si>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</si>
  <si>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</si>
  <si>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</si>
  <si>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</si>
  <si>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</si>
  <si>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</si>
  <si>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</si>
  <si>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</si>
  <si>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</si>
  <si>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</si>
  <si>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</si>
  <si>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</si>
  <si>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</si>
  <si>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</si>
  <si>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</si>
  <si>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</si>
  <si>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</si>
  <si>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</si>
  <si>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</si>
  <si>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</si>
  <si>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</si>
  <si>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</si>
  <si>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</si>
  <si>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</si>
  <si>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</si>
  <si>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</si>
  <si>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</si>
  <si>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</si>
  <si>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</si>
  <si>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</si>
  <si>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</si>
  <si>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</si>
  <si>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</si>
  <si>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</si>
  <si>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</si>
  <si>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</si>
  <si>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</si>
  <si>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</si>
  <si>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</si>
  <si>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</si>
  <si>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</si>
  <si>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</si>
  <si>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</si>
  <si>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</si>
  <si>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</si>
  <si>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</si>
  <si>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</si>
  <si>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</si>
  <si>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</si>
  <si>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</si>
  <si>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</si>
  <si>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</si>
  <si>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</si>
  <si>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</si>
  <si>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</si>
  <si>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</si>
  <si>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</si>
  <si>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</si>
  <si>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</si>
  <si>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</si>
  <si>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</si>
  <si>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</si>
  <si>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</si>
  <si>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</si>
  <si>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</si>
  <si>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</si>
  <si>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</si>
  <si>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</si>
  <si>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</si>
  <si>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</si>
  <si>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</si>
  <si>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</si>
  <si>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</si>
  <si>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</si>
  <si>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</si>
  <si>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</si>
  <si>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</si>
  <si>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</si>
  <si>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</si>
  <si>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</si>
  <si>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</si>
  <si>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</si>
  <si>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</si>
  <si>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</si>
  <si>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</si>
  <si>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</si>
  <si>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</si>
  <si>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</si>
  <si>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</si>
  <si>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</si>
  <si>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</si>
  <si>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</si>
  <si>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</si>
  <si>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</si>
  <si>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</si>
  <si>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</si>
  <si>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</si>
  <si>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</si>
  <si>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</si>
  <si>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</si>
  <si>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</si>
  <si>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</si>
  <si>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</si>
  <si>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</si>
  <si>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</si>
  <si>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</si>
  <si>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</si>
  <si>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</si>
  <si>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</si>
  <si>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</si>
  <si>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</si>
  <si>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</si>
  <si>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</si>
  <si>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</si>
  <si>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</si>
  <si>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</si>
  <si>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</si>
  <si>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</si>
  <si>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</si>
  <si>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</si>
  <si>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</si>
  <si>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</si>
  <si>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</si>
  <si>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</si>
  <si>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</si>
  <si>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</si>
  <si>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</si>
  <si>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</si>
  <si>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</si>
  <si>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</si>
  <si>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</si>
  <si>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</si>
  <si>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</si>
  <si>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</si>
  <si>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</si>
  <si>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</si>
  <si>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</si>
  <si>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</si>
  <si>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</si>
  <si>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</si>
  <si>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</si>
  <si>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</si>
  <si>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</si>
  <si>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</si>
  <si>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</si>
  <si>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</si>
  <si>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</si>
  <si>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</si>
  <si>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</si>
  <si>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</si>
  <si>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</si>
  <si>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</si>
  <si>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</si>
  <si>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</si>
  <si>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</si>
  <si>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</si>
  <si>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</si>
  <si>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</si>
  <si>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</si>
  <si>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</si>
  <si>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</si>
  <si>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</si>
  <si>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</si>
  <si>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</si>
  <si>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</si>
  <si>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</si>
  <si>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</si>
  <si>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</si>
  <si>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</si>
  <si>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</si>
  <si>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</si>
  <si>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</si>
  <si>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</si>
  <si>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</si>
  <si>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</si>
  <si>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</si>
  <si>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</si>
  <si>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</si>
  <si>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</si>
  <si>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</si>
  <si>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</si>
  <si>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</si>
  <si>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</si>
  <si>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</si>
  <si>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</si>
  <si>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</si>
  <si>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</si>
  <si>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</si>
  <si>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</si>
  <si>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</si>
  <si>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</si>
  <si>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</si>
  <si>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</si>
  <si>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</si>
  <si>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</si>
  <si>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</si>
  <si>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</si>
  <si>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</si>
  <si>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</si>
  <si>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</si>
  <si>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</si>
  <si>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</si>
  <si>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</si>
  <si>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</si>
  <si>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</si>
  <si>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</si>
  <si>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</si>
  <si>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</si>
  <si>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</si>
  <si>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</si>
  <si>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</si>
  <si>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</si>
  <si>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</si>
  <si>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</si>
  <si>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</si>
  <si>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</si>
  <si>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</si>
  <si>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</si>
  <si>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</si>
  <si>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</si>
  <si>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</si>
  <si>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</si>
  <si>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</si>
  <si>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</si>
  <si>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</si>
  <si>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</si>
  <si>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</si>
  <si>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</si>
  <si>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</si>
  <si>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</si>
  <si>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</si>
  <si>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</si>
  <si>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</si>
  <si>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</si>
  <si>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</si>
  <si>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</si>
  <si>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</si>
  <si>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</si>
  <si>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</si>
  <si>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</si>
  <si>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</si>
  <si>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</si>
  <si>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</si>
  <si>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</si>
  <si>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</si>
  <si>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</si>
  <si>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</si>
  <si>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</si>
  <si>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</si>
  <si>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</si>
  <si>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</si>
  <si>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</si>
  <si>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</si>
  <si>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</si>
  <si>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</si>
  <si>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</si>
  <si>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</si>
  <si>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</si>
  <si>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</si>
  <si>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</si>
  <si>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</si>
  <si>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</si>
  <si>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</si>
  <si>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</si>
  <si>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</si>
  <si>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</si>
  <si>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</si>
  <si>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</si>
  <si>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</si>
  <si>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</si>
  <si>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</si>
  <si>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</si>
  <si>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</si>
  <si>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</si>
  <si>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</si>
  <si>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</si>
  <si>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</si>
  <si>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</si>
  <si>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</si>
  <si>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</si>
  <si>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</si>
  <si>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</si>
  <si>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</si>
  <si>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</si>
  <si>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</si>
  <si>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</si>
  <si>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</si>
  <si>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</si>
  <si>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</si>
  <si>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</si>
  <si>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</si>
  <si>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</si>
  <si>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</si>
  <si>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</si>
  <si>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</si>
  <si>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</si>
  <si>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</si>
  <si>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</si>
  <si>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</si>
  <si>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</si>
  <si>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</si>
  <si>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</si>
  <si>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</si>
  <si>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</si>
  <si>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</si>
  <si>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</si>
  <si>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</si>
  <si>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</si>
  <si>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</si>
  <si>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</si>
  <si>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</si>
  <si>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</si>
  <si>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</si>
  <si>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</si>
  <si>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</si>
  <si>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</si>
  <si>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</si>
  <si>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</si>
  <si>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</si>
  <si>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</si>
  <si>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</si>
  <si>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</si>
  <si>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</si>
  <si>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</si>
  <si>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</si>
  <si>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</si>
  <si>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</si>
  <si>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</si>
  <si>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</si>
  <si>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</si>
  <si>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</si>
  <si>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</si>
  <si>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</si>
  <si>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</si>
  <si>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</si>
  <si>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</si>
  <si>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</si>
  <si>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</si>
  <si>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</si>
  <si>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</si>
  <si>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</si>
  <si>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</si>
  <si>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</si>
  <si>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</si>
  <si>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</si>
  <si>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</si>
  <si>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</si>
  <si>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</si>
  <si>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</si>
  <si>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</si>
  <si>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</si>
  <si>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</si>
  <si>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</si>
  <si>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</si>
  <si>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</si>
  <si>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</si>
  <si>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</si>
  <si>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</si>
  <si>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</si>
  <si>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</si>
  <si>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</si>
  <si>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</si>
  <si>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</si>
  <si>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</si>
  <si>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</si>
  <si>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</si>
  <si>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</si>
  <si>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</si>
  <si>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</si>
  <si>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</si>
  <si>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</si>
  <si>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</si>
  <si>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</si>
  <si>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</si>
  <si>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</si>
  <si>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</si>
  <si>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</si>
  <si>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</si>
  <si>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</si>
  <si>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</si>
  <si>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</si>
  <si>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</si>
  <si>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</si>
  <si>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</si>
  <si>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</si>
  <si>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</si>
  <si>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</si>
  <si>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</si>
  <si>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</si>
  <si>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</si>
  <si>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</si>
  <si>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</si>
  <si>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</si>
  <si>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</si>
  <si>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</si>
  <si>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</si>
  <si>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</si>
  <si>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</si>
  <si>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</si>
  <si>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</si>
  <si>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</si>
  <si>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</si>
  <si>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</si>
  <si>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</si>
  <si>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</si>
  <si>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</si>
  <si>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</si>
  <si>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</si>
  <si>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</si>
  <si>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</si>
  <si>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</si>
  <si>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</si>
  <si>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</si>
  <si>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</si>
  <si>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</si>
  <si>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</si>
  <si>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</si>
  <si>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</si>
  <si>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</si>
  <si>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</si>
  <si>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</si>
  <si>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</si>
  <si>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</si>
  <si>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</si>
  <si>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</si>
  <si>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</si>
  <si>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</si>
  <si>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</si>
  <si>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</si>
  <si>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</si>
  <si>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</si>
  <si>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</si>
  <si>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</si>
  <si>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</si>
  <si>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</si>
  <si>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</si>
  <si>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</si>
  <si>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</si>
  <si>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</si>
  <si>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</si>
  <si>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</si>
  <si>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</si>
  <si>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</si>
  <si>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</si>
  <si>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</si>
  <si>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</si>
  <si>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</si>
  <si>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</si>
  <si>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</si>
  <si>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</si>
  <si>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</si>
  <si>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</si>
  <si>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</si>
  <si>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</si>
  <si>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</si>
  <si>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</si>
  <si>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</si>
  <si>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</si>
  <si>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</si>
  <si>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</si>
  <si>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</si>
  <si>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</si>
  <si>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</si>
  <si>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</si>
  <si>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</si>
  <si>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</si>
  <si>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</si>
  <si>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</si>
  <si>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</si>
  <si>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</si>
  <si>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</si>
  <si>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</si>
  <si>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</si>
  <si>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</si>
  <si>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</si>
  <si>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</si>
  <si>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</si>
  <si>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</si>
  <si>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</si>
  <si>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</si>
  <si>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</si>
  <si>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</si>
  <si>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</si>
  <si>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</si>
  <si>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</si>
  <si>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</si>
  <si>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</si>
  <si>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</si>
  <si>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</si>
  <si>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</si>
  <si>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</si>
  <si>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</si>
  <si>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</si>
  <si>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</si>
  <si>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</si>
  <si>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</si>
  <si>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</si>
  <si>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</si>
  <si>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</si>
  <si>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</si>
  <si>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</si>
  <si>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</si>
  <si>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</si>
  <si>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</si>
  <si>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</si>
  <si>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</si>
  <si>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</si>
  <si>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</si>
  <si>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</si>
  <si>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</si>
  <si>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</si>
  <si>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</si>
  <si>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</si>
  <si>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</si>
  <si>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</si>
  <si>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</si>
  <si>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</si>
  <si>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</si>
  <si>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</si>
  <si>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</si>
  <si>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</si>
  <si>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</si>
  <si>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</si>
  <si>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</si>
  <si>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</si>
  <si>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</si>
  <si>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</si>
  <si>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</si>
  <si>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</si>
  <si>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</si>
  <si>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</si>
  <si>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</si>
  <si>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</si>
  <si>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</si>
  <si>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</si>
  <si>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</si>
  <si>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</si>
  <si>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</si>
  <si>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</si>
  <si>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</si>
  <si>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</si>
  <si>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</si>
  <si>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</si>
  <si>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</si>
  <si>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</si>
  <si>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</si>
  <si>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</si>
  <si>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</si>
  <si>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</si>
  <si>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</si>
  <si>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</si>
  <si>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</si>
  <si>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</si>
  <si>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</si>
  <si>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</si>
  <si>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</si>
  <si>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</si>
  <si>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</si>
  <si>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</si>
  <si>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</si>
  <si>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</si>
  <si>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</si>
  <si>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</si>
  <si>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</si>
  <si>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</si>
  <si>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</si>
  <si>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</si>
  <si>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</si>
  <si>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</si>
  <si>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</si>
  <si>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</si>
  <si>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</si>
  <si>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</si>
  <si>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</si>
  <si>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</si>
  <si>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</si>
  <si>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</si>
  <si>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</si>
  <si>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</si>
  <si>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</si>
  <si>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</si>
  <si>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</si>
  <si>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</si>
  <si>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</si>
  <si>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</si>
  <si>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</si>
  <si>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</si>
  <si>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</si>
  <si>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</si>
  <si>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</si>
  <si>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</si>
  <si>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</si>
  <si>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</si>
  <si>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</si>
  <si>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</si>
  <si>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</si>
  <si>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</si>
  <si>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</si>
  <si>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</si>
  <si>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</si>
  <si>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</si>
  <si>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</si>
  <si>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</si>
  <si>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</si>
  <si>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</si>
  <si>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</si>
  <si>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</si>
  <si>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</si>
  <si>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</si>
  <si>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</si>
  <si>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</si>
  <si>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</si>
  <si>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</si>
  <si>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</si>
  <si>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</si>
  <si>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</si>
  <si>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</si>
  <si>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</si>
  <si>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</si>
  <si>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</si>
  <si>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</si>
  <si>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</si>
  <si>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</si>
  <si>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</si>
  <si>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</si>
  <si>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</si>
  <si>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</si>
  <si>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</si>
  <si>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</si>
  <si>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</si>
  <si>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</si>
  <si>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</si>
  <si>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</si>
  <si>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</si>
  <si>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</si>
  <si>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</si>
  <si>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</si>
  <si>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</si>
  <si>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</si>
  <si>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</si>
  <si>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</si>
  <si>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</si>
  <si>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</si>
  <si>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</si>
  <si>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</si>
  <si>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</si>
  <si>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</si>
  <si>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</si>
  <si>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</si>
  <si>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</si>
  <si>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</si>
  <si>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</si>
  <si>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</si>
  <si>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</si>
  <si>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</si>
  <si>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</si>
  <si>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</si>
  <si>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</si>
  <si>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</si>
  <si>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</si>
  <si>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</si>
  <si>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</si>
  <si>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</si>
  <si>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</si>
  <si>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</si>
  <si>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</si>
  <si>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</si>
  <si>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</si>
  <si>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</si>
  <si>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</si>
  <si>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</si>
  <si>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</si>
  <si>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</si>
  <si>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</si>
  <si>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</si>
  <si>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</si>
  <si>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</si>
  <si>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</si>
  <si>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</si>
  <si>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</si>
  <si>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</si>
  <si>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</si>
  <si>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</si>
  <si>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</si>
  <si>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</si>
  <si>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</si>
  <si>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</si>
  <si>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</si>
  <si>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</si>
  <si>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</si>
  <si>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</si>
  <si>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</si>
  <si>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</si>
  <si>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</si>
  <si>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</si>
  <si>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</si>
  <si>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</si>
  <si>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</si>
  <si>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</si>
  <si>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</si>
  <si>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</si>
  <si>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</si>
  <si>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</si>
  <si>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</si>
  <si>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</si>
  <si>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</si>
  <si>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</si>
  <si>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</si>
  <si>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</si>
  <si>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</si>
  <si>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</si>
  <si>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</si>
  <si>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</si>
  <si>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</si>
  <si>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</si>
  <si>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</si>
  <si>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</si>
  <si>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</si>
  <si>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</si>
  <si>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</si>
  <si>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</si>
  <si>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</si>
  <si>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</si>
  <si>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</si>
  <si>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</si>
  <si>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</si>
  <si>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</si>
  <si>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</si>
  <si>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</si>
  <si>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</si>
  <si>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</si>
  <si>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</si>
  <si>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</si>
  <si>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</si>
  <si>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</si>
  <si>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</si>
  <si>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</si>
  <si>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</si>
  <si>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</si>
  <si>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</si>
  <si>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</si>
  <si>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</si>
  <si>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</si>
  <si>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</si>
  <si>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</si>
  <si>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</si>
  <si>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</si>
  <si>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</si>
  <si>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</si>
  <si>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</si>
  <si>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</si>
  <si>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</si>
  <si>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</si>
  <si>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</si>
  <si>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</si>
  <si>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</si>
  <si>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</si>
  <si>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</si>
  <si>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</si>
  <si>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</si>
  <si>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</si>
  <si>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</si>
  <si>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</si>
  <si>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</si>
  <si>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</si>
  <si>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</si>
  <si>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</si>
  <si>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</si>
  <si>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</si>
  <si>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</si>
  <si>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</si>
  <si>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</si>
  <si>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</si>
  <si>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</si>
  <si>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</si>
  <si>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</si>
  <si>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</si>
  <si>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</si>
  <si>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</si>
  <si>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</si>
  <si>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</si>
  <si>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</si>
  <si>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</si>
  <si>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</si>
  <si>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</si>
  <si>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</si>
  <si>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</si>
  <si>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</si>
  <si>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</si>
  <si>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</si>
  <si>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</si>
  <si>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</si>
  <si>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</si>
  <si>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</si>
  <si>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</si>
  <si>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</si>
  <si>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</si>
  <si>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</si>
  <si>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</si>
  <si>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</si>
  <si>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</si>
  <si>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</si>
  <si>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</si>
  <si>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</si>
  <si>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</si>
  <si>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</si>
  <si>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</si>
  <si>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</si>
  <si>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</si>
  <si>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</si>
  <si>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</si>
  <si>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</si>
  <si>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</si>
  <si>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</si>
  <si>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</si>
  <si>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</si>
  <si>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</si>
  <si>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</si>
  <si>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</si>
  <si>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</si>
  <si>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</si>
  <si>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</si>
  <si>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</si>
  <si>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</si>
  <si>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</si>
  <si>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</si>
  <si>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</si>
  <si>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</si>
  <si>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</si>
  <si>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</si>
  <si>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</si>
  <si>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</si>
  <si>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</si>
  <si>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</si>
  <si>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</si>
  <si>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</si>
  <si>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</si>
  <si>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</si>
  <si>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</si>
  <si>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</si>
  <si>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</si>
  <si>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</si>
  <si>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</si>
  <si>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</si>
  <si>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</si>
  <si>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</si>
  <si>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</si>
  <si>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</si>
  <si>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</si>
  <si>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</si>
  <si>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</si>
  <si>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</si>
  <si>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</si>
  <si>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</si>
  <si>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</si>
  <si>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</si>
  <si>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</si>
  <si>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</si>
  <si>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</si>
  <si>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</si>
  <si>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</si>
  <si>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</si>
  <si>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</si>
  <si>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</si>
  <si>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</si>
  <si>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</si>
  <si>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</si>
  <si>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</si>
  <si>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</si>
  <si>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</si>
  <si>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</si>
  <si>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</si>
  <si>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</si>
  <si>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</si>
  <si>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</si>
  <si>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</si>
  <si>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</si>
  <si>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</si>
  <si>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</si>
  <si>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</si>
  <si>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</si>
  <si>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</si>
  <si>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</si>
  <si>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</si>
  <si>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</si>
  <si>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</si>
  <si>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</si>
  <si>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</si>
  <si>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</si>
  <si>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</si>
  <si>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</si>
  <si>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</si>
  <si>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</si>
  <si>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</si>
  <si>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</si>
  <si>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</si>
  <si>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</si>
  <si>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</si>
  <si>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</si>
  <si>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</si>
  <si>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</si>
  <si>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</si>
  <si>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</si>
  <si>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</si>
  <si>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</si>
  <si>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</si>
  <si>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</si>
  <si>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</si>
  <si>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</si>
  <si>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</si>
  <si>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</si>
  <si>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</si>
  <si>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</si>
  <si>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</si>
  <si>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</si>
  <si>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</si>
  <si>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</si>
  <si>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</si>
  <si>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</si>
  <si>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</si>
  <si>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</si>
  <si>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</si>
  <si>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</si>
  <si>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</si>
  <si>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</si>
  <si>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</si>
  <si>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</si>
  <si>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</si>
  <si>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</si>
  <si>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</si>
  <si>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</si>
  <si>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</si>
  <si>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</si>
  <si>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</si>
  <si>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</si>
  <si>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</si>
  <si>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</si>
  <si>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</si>
  <si>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</si>
  <si>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</si>
  <si>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</si>
  <si>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</si>
  <si>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</si>
  <si>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</si>
  <si>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</si>
  <si>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</si>
  <si>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</si>
  <si>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</si>
  <si>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</si>
  <si>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</si>
  <si>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</si>
  <si>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</si>
  <si>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</si>
  <si>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</si>
  <si>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</si>
  <si>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</si>
  <si>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</si>
  <si>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</si>
  <si>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</si>
  <si>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</si>
  <si>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</si>
  <si>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</si>
  <si>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</si>
  <si>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</si>
  <si>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</si>
  <si>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</si>
  <si>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</si>
  <si>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</si>
  <si>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</si>
  <si>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</si>
  <si>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</si>
  <si>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</si>
  <si>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</si>
  <si>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</si>
  <si>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</si>
  <si>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</si>
  <si>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</si>
  <si>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</si>
  <si>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</si>
  <si>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</si>
  <si>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</si>
  <si>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</si>
  <si>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</si>
  <si>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</si>
  <si>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</si>
  <si>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</si>
  <si>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</si>
  <si>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</si>
  <si>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</si>
  <si>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</si>
  <si>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</si>
  <si>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</si>
  <si>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</si>
  <si>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</si>
  <si>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</si>
  <si>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</si>
  <si>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</si>
  <si>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</si>
  <si>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</si>
  <si>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</si>
  <si>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</si>
  <si>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</si>
  <si>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</si>
  <si>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</si>
  <si>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</si>
  <si>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</si>
  <si>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</si>
  <si>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</si>
  <si>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</si>
  <si>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</si>
  <si>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</si>
  <si>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</si>
  <si>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</si>
  <si>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</si>
  <si>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</si>
  <si>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</si>
  <si>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</si>
  <si>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</si>
  <si>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</si>
  <si>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</si>
  <si>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</si>
  <si>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</si>
  <si>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</si>
  <si>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</si>
  <si>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</si>
  <si>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</si>
  <si>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</si>
  <si>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</si>
  <si>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</si>
  <si>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</si>
  <si>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</si>
  <si>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</si>
  <si>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</si>
  <si>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</si>
  <si>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</si>
  <si>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</si>
  <si>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</si>
  <si>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</si>
  <si>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</si>
  <si>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</si>
  <si>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</si>
  <si>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</si>
  <si>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</si>
  <si>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</si>
  <si>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</si>
  <si>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</si>
  <si>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</si>
  <si>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</si>
  <si>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</si>
  <si>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</si>
  <si>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</si>
  <si>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</si>
  <si>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</si>
  <si>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</si>
  <si>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</si>
  <si>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</si>
  <si>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</si>
  <si>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</si>
  <si>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</si>
  <si>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</si>
  <si>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</si>
  <si>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</si>
  <si>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</si>
  <si>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</si>
  <si>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</si>
  <si>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</si>
  <si>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</si>
  <si>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</si>
  <si>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</si>
  <si>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</si>
  <si>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</si>
  <si>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</si>
  <si>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</si>
  <si>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</si>
  <si>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</si>
  <si>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</si>
  <si>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</si>
  <si>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</si>
  <si>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</si>
  <si>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</si>
  <si>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</si>
  <si>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</si>
  <si>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</si>
  <si>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</si>
  <si>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</si>
  <si>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</si>
  <si>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</si>
  <si>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</si>
  <si>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</si>
  <si>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</si>
  <si>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</si>
  <si>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</si>
  <si>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</si>
  <si>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</si>
  <si>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</si>
  <si>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</si>
  <si>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</si>
  <si>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</si>
  <si>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</si>
  <si>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</si>
  <si>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</si>
  <si>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</si>
  <si>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</si>
  <si>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</si>
  <si>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</si>
  <si>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</si>
  <si>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</si>
  <si>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</si>
  <si>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</si>
  <si>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</si>
  <si>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</si>
  <si>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</si>
  <si>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</si>
  <si>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</si>
  <si>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</si>
  <si>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</si>
  <si>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</si>
  <si>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</si>
  <si>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</si>
  <si>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</si>
  <si>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</si>
  <si>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</si>
  <si>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</si>
  <si>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</si>
  <si>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</si>
  <si>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</si>
  <si>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</si>
  <si>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</si>
  <si>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</si>
  <si>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</si>
  <si>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</si>
  <si>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</si>
  <si>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</si>
  <si>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</si>
  <si>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</si>
  <si>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</si>
  <si>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</si>
  <si>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</si>
  <si>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</si>
  <si>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</si>
  <si>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</si>
  <si>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</si>
  <si>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</si>
  <si>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</si>
  <si>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</si>
  <si>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</si>
  <si>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</si>
  <si>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</si>
  <si>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</si>
  <si>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</si>
  <si>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</si>
  <si>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</si>
  <si>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</si>
  <si>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</si>
  <si>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</si>
  <si>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</si>
  <si>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</si>
  <si>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</si>
  <si>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</si>
  <si>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</si>
  <si>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</si>
  <si>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</si>
  <si>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</si>
  <si>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</si>
  <si>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</si>
  <si>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</si>
  <si>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</si>
  <si>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</si>
  <si>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</si>
  <si>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</si>
  <si>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</si>
  <si>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</si>
  <si>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</si>
  <si>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</si>
  <si>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</si>
  <si>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</si>
  <si>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</si>
  <si>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</si>
  <si>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</si>
  <si>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</si>
  <si>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</si>
  <si>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</si>
  <si>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</si>
  <si>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</si>
  <si>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</si>
  <si>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</si>
  <si>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</si>
  <si>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</si>
  <si>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</si>
  <si>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</si>
  <si>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</si>
  <si>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</si>
  <si>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</si>
  <si>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</si>
  <si>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</si>
  <si>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</si>
  <si>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</si>
  <si>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</si>
  <si>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</si>
  <si>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</si>
  <si>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</si>
  <si>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</si>
  <si>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</si>
  <si>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</si>
  <si>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</si>
  <si>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</si>
  <si>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</si>
  <si>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</si>
  <si>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</si>
  <si>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</si>
  <si>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</si>
  <si>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</si>
  <si>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</si>
  <si>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</si>
  <si>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</si>
  <si>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</si>
  <si>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</si>
  <si>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</si>
  <si>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</si>
  <si>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</si>
  <si>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</si>
  <si>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</si>
  <si>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</si>
  <si>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</si>
  <si>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</si>
  <si>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</si>
  <si>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</si>
  <si>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</si>
  <si>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</si>
  <si>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</si>
  <si>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</si>
  <si>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</si>
  <si>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</si>
  <si>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</si>
  <si>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</si>
  <si>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</si>
  <si>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</si>
  <si>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</si>
  <si>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</si>
  <si>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</si>
  <si>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</si>
  <si>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</si>
  <si>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</si>
  <si>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</si>
  <si>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</si>
  <si>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</si>
  <si>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</si>
  <si>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</si>
  <si>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</si>
  <si>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</si>
  <si>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</si>
  <si>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</si>
  <si>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</si>
  <si>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</si>
  <si>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</si>
  <si>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</si>
  <si>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</si>
  <si>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</si>
  <si>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</si>
  <si>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</si>
  <si>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</si>
  <si>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</si>
  <si>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</si>
  <si>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</si>
  <si>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</si>
  <si>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</si>
  <si>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</si>
  <si>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</si>
  <si>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</si>
  <si>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</si>
  <si>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</si>
  <si>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</si>
  <si>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</si>
  <si>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</si>
  <si>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</si>
  <si>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</si>
  <si>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</si>
  <si>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</si>
  <si>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</si>
  <si>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</si>
  <si>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</si>
  <si>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</si>
  <si>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</si>
  <si>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</si>
  <si>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</si>
  <si>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</si>
  <si>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</si>
  <si>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</si>
  <si>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</si>
  <si>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</si>
  <si>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</si>
  <si>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</si>
  <si>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</si>
  <si>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</si>
  <si>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</si>
  <si>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</si>
  <si>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</si>
  <si>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</si>
  <si>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</si>
  <si>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</si>
  <si>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</si>
  <si>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</si>
  <si>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</si>
  <si>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</si>
  <si>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</si>
  <si>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</si>
  <si>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</si>
  <si>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</si>
  <si>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</si>
  <si>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</si>
  <si>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</si>
  <si>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</si>
  <si>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</si>
  <si>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</si>
  <si>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</si>
  <si>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</si>
  <si>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</si>
  <si>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</si>
  <si>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</si>
  <si>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</si>
  <si>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</si>
  <si>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</si>
  <si>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</si>
  <si>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</si>
  <si>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</si>
  <si>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</si>
  <si>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</si>
  <si>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</si>
  <si>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</si>
  <si>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</si>
  <si>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</si>
  <si>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</si>
  <si>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</si>
  <si>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</si>
  <si>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</si>
  <si>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</si>
  <si>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</si>
  <si>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</si>
  <si>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</si>
  <si>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</si>
  <si>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</si>
  <si>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</si>
  <si>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</si>
  <si>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</si>
  <si>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</si>
  <si>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</si>
  <si>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</si>
  <si>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</si>
  <si>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</si>
  <si>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</si>
  <si>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</si>
  <si>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</si>
  <si>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</si>
  <si>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</si>
  <si>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</si>
  <si>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</si>
  <si>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</si>
  <si>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</si>
  <si>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</si>
  <si>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</si>
  <si>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</si>
  <si>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</si>
  <si>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</si>
  <si>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</si>
  <si>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</si>
  <si>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</si>
  <si>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</si>
  <si>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</si>
  <si>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</si>
  <si>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</si>
  <si>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</si>
  <si>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</si>
  <si>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</si>
  <si>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</si>
  <si>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</si>
  <si>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</si>
  <si>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</si>
  <si>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</si>
  <si>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</si>
  <si>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</si>
  <si>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</si>
  <si>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</si>
  <si>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</si>
  <si>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</si>
  <si>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</si>
  <si>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</si>
  <si>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</si>
  <si>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</si>
  <si>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</si>
  <si>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</si>
  <si>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</si>
  <si>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</si>
  <si>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</si>
  <si>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</si>
  <si>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</si>
  <si>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</si>
  <si>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</si>
  <si>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</si>
  <si>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</si>
  <si>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</si>
  <si>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</si>
  <si>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</si>
  <si>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</si>
  <si>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</si>
  <si>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</si>
  <si>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</si>
  <si>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</si>
  <si>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</si>
  <si>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</si>
  <si>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</si>
  <si>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</si>
  <si>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</si>
  <si>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</si>
  <si>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</si>
  <si>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</si>
  <si>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</si>
  <si>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</si>
  <si>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</si>
  <si>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</si>
  <si>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</si>
  <si>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</si>
  <si>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</si>
  <si>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</si>
  <si>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</si>
  <si>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</si>
  <si>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</si>
  <si>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</si>
  <si>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</si>
  <si>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</si>
  <si>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</si>
  <si>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</si>
  <si>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</si>
  <si>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</si>
  <si>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</si>
  <si>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</si>
  <si>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</si>
  <si>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</si>
  <si>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</si>
  <si>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</si>
  <si>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</si>
  <si>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</si>
  <si>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</si>
  <si>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</si>
  <si>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</si>
  <si>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</si>
  <si>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</si>
  <si>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</si>
  <si>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</si>
  <si>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</si>
  <si>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</si>
  <si>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</si>
  <si>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</si>
  <si>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</si>
  <si>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</si>
  <si>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</si>
  <si>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</si>
  <si>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</si>
  <si>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</si>
  <si>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</si>
  <si>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</si>
  <si>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</si>
  <si>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</si>
  <si>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</si>
  <si>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</si>
  <si>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</si>
  <si>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</si>
  <si>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</si>
  <si>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</si>
  <si>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</si>
  <si>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</si>
  <si>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</si>
  <si>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</si>
  <si>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</si>
  <si>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</si>
  <si>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</si>
  <si>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</si>
  <si>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</si>
  <si>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</si>
  <si>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</si>
  <si>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</si>
  <si>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</si>
  <si>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</si>
  <si>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</si>
  <si>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</si>
  <si>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</si>
  <si>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</si>
  <si>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</si>
  <si>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</si>
  <si>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</si>
  <si>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</si>
  <si>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</si>
  <si>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</si>
  <si>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</si>
  <si>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</si>
  <si>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</si>
  <si>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</si>
  <si>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</si>
  <si>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</si>
  <si>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</si>
  <si>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</si>
  <si>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</si>
  <si>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</si>
  <si>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</si>
  <si>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</si>
  <si>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</si>
  <si>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</si>
  <si>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</si>
  <si>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</si>
  <si>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</si>
  <si>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</si>
  <si>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</si>
  <si>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</si>
  <si>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</si>
  <si>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</si>
  <si>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</si>
  <si>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</si>
  <si>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</si>
  <si>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</si>
  <si>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</si>
  <si>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</si>
  <si>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</si>
  <si>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</si>
  <si>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</si>
  <si>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</si>
  <si>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</si>
  <si>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</si>
  <si>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</si>
  <si>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</si>
  <si>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</si>
  <si>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</si>
  <si>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</si>
  <si>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</si>
  <si>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</si>
  <si>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</si>
  <si>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</si>
  <si>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</si>
  <si>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</si>
  <si>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</si>
  <si>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</si>
  <si>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</si>
  <si>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</si>
  <si>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</si>
  <si>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</si>
  <si>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</si>
  <si>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</si>
  <si>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</si>
  <si>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</si>
  <si>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</si>
  <si>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</si>
  <si>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</si>
  <si>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</si>
  <si>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</si>
  <si>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</si>
  <si>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</si>
  <si>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</si>
  <si>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</si>
  <si>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</si>
  <si>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</si>
  <si>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</si>
  <si>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</si>
  <si>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</si>
  <si>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</si>
  <si>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</si>
  <si>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</si>
  <si>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</si>
  <si>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</si>
  <si>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</si>
  <si>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</si>
  <si>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</si>
  <si>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</si>
  <si>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</si>
  <si>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</si>
  <si>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</si>
  <si>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</si>
  <si>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</si>
  <si>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</si>
  <si>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</si>
  <si>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</si>
  <si>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</si>
  <si>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</si>
  <si>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</si>
  <si>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</si>
  <si>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</si>
  <si>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</si>
  <si>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</si>
  <si>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</si>
  <si>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</si>
  <si>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</si>
  <si>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</si>
  <si>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</si>
  <si>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</si>
  <si>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</si>
  <si>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</si>
  <si>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</si>
  <si>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</si>
  <si>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</si>
  <si>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</si>
  <si>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</si>
  <si>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</si>
  <si>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</si>
  <si>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</si>
  <si>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</si>
  <si>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</si>
  <si>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</si>
  <si>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</si>
  <si>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</si>
  <si>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</si>
  <si>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</si>
  <si>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</si>
  <si>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</si>
  <si>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</si>
  <si>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</si>
  <si>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</si>
  <si>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</si>
  <si>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</si>
  <si>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</si>
  <si>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</si>
  <si>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</si>
  <si>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</si>
  <si>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</si>
  <si>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</si>
  <si>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</si>
  <si>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</si>
  <si>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</si>
  <si>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</si>
  <si>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</si>
  <si>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</si>
  <si>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</si>
  <si>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</si>
  <si>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</si>
  <si>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</si>
  <si>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</si>
  <si>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</si>
  <si>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</si>
  <si>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</si>
  <si>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</si>
  <si>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</si>
  <si>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</si>
  <si>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</si>
  <si>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</si>
  <si>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</si>
  <si>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</si>
  <si>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</si>
  <si>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</si>
  <si>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</si>
  <si>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</si>
  <si>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</si>
  <si>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</si>
  <si>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</si>
  <si>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</si>
  <si>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</si>
  <si>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</si>
  <si>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</si>
  <si>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</si>
  <si>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</si>
  <si>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</si>
  <si>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</si>
  <si>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</si>
  <si>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</si>
  <si>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</si>
  <si>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</si>
  <si>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</si>
  <si>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</si>
  <si>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</si>
  <si>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</si>
  <si>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</si>
  <si>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</si>
  <si>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</si>
  <si>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</si>
  <si>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</si>
  <si>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</si>
  <si>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</si>
  <si>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</si>
  <si>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</si>
  <si>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</si>
  <si>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</si>
  <si>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</si>
  <si>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</si>
  <si>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</si>
  <si>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</si>
  <si>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</si>
  <si>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</si>
  <si>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</si>
  <si>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</si>
  <si>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</si>
  <si>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</si>
  <si>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</si>
  <si>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</si>
  <si>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</si>
  <si>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</si>
  <si>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</si>
  <si>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</si>
  <si>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</si>
  <si>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</si>
  <si>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</si>
  <si>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</si>
  <si>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</si>
  <si>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</si>
  <si>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</si>
  <si>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</si>
  <si>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</si>
  <si>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</si>
  <si>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</si>
  <si>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</si>
  <si>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</si>
  <si>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</si>
  <si>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</si>
  <si>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</si>
  <si>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</si>
  <si>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</si>
  <si>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</si>
  <si>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</si>
  <si>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</si>
  <si>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</si>
  <si>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</si>
  <si>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</si>
  <si>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</si>
  <si>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</si>
  <si>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</si>
  <si>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</si>
  <si>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</si>
  <si>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</si>
  <si>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</si>
  <si>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</si>
  <si>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</si>
  <si>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</si>
  <si>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</si>
  <si>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</si>
  <si>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</si>
  <si>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</si>
  <si>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</si>
  <si>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</si>
  <si>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</si>
  <si>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</si>
  <si>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</si>
  <si>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</si>
  <si>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</si>
  <si>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</si>
  <si>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</si>
  <si>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</si>
  <si>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</si>
  <si>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</si>
  <si>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</si>
  <si>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</si>
  <si>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</si>
  <si>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</si>
  <si>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</si>
  <si>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</si>
  <si>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</si>
  <si>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</si>
  <si>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</si>
  <si>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</si>
  <si>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</si>
  <si>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</si>
  <si>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</si>
  <si>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</si>
  <si>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</si>
  <si>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</si>
  <si>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</si>
  <si>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</si>
  <si>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</si>
  <si>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</si>
  <si>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</si>
  <si>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</si>
  <si>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</si>
  <si>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</si>
  <si>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</si>
  <si>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</si>
  <si>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</si>
  <si>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</si>
  <si>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</si>
  <si>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</si>
  <si>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</si>
  <si>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</si>
  <si>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</si>
  <si>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</si>
  <si>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</si>
  <si>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</si>
  <si>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</si>
  <si>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</si>
  <si>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</si>
  <si>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</si>
  <si>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</si>
  <si>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</si>
  <si>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</si>
  <si>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</si>
  <si>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</si>
  <si>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</si>
  <si>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</si>
  <si>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</si>
  <si>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</si>
  <si>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</si>
  <si>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</si>
  <si>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</si>
  <si>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</si>
  <si>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</si>
  <si>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</si>
  <si>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</si>
  <si>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</si>
  <si>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</si>
  <si>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</si>
  <si>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</si>
  <si>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</si>
  <si>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</si>
  <si>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</si>
  <si>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</si>
  <si>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</si>
  <si>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</si>
  <si>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</si>
  <si>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</si>
  <si>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</si>
  <si>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</si>
  <si>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</si>
  <si>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</si>
  <si>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</si>
  <si>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</si>
  <si>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</si>
  <si>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</si>
  <si>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</si>
  <si>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</si>
  <si>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</si>
  <si>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</si>
  <si>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</si>
  <si>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</si>
  <si>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</si>
  <si>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</si>
  <si>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</si>
  <si>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</si>
  <si>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</si>
  <si>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</si>
  <si>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</si>
  <si>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</si>
  <si>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</si>
  <si>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</si>
  <si>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</si>
  <si>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</si>
  <si>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</si>
  <si>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</si>
  <si>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</si>
  <si>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</si>
  <si>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</si>
  <si>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</si>
  <si>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</si>
  <si>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</si>
  <si>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</si>
  <si>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</si>
  <si>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</si>
  <si>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</si>
  <si>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</si>
  <si>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</si>
  <si>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</si>
  <si>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</si>
  <si>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</si>
  <si>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</si>
  <si>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</si>
  <si>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</si>
  <si>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</si>
  <si>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</si>
  <si>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</si>
  <si>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</si>
  <si>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</si>
  <si>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</si>
  <si>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</si>
  <si>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</si>
  <si>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</si>
  <si>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</si>
  <si>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</si>
  <si>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</si>
  <si>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</si>
  <si>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</si>
  <si>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</si>
  <si>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</si>
  <si>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</si>
  <si>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</si>
  <si>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</si>
  <si>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</si>
  <si>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</si>
  <si>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</si>
  <si>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</si>
  <si>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</si>
  <si>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</si>
  <si>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</si>
  <si>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</si>
  <si>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</si>
  <si>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</si>
  <si>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</si>
  <si>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</si>
  <si>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</si>
  <si>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</si>
  <si>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</si>
  <si>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</si>
  <si>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</si>
  <si>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</si>
  <si>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</si>
  <si>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</si>
  <si>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</si>
  <si>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</si>
  <si>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</si>
  <si>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</si>
  <si>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</si>
  <si>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</si>
  <si>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</si>
  <si>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</si>
  <si>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</si>
  <si>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</si>
  <si>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</si>
  <si>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</si>
  <si>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</si>
  <si>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</si>
  <si>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</si>
  <si>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</si>
  <si>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</si>
  <si>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</si>
  <si>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</si>
  <si>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</si>
  <si>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</si>
  <si>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</si>
  <si>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</si>
  <si>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</si>
  <si>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</si>
  <si>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</si>
  <si>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</si>
  <si>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</si>
  <si>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</si>
  <si>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</si>
  <si>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</si>
  <si>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</si>
  <si>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</si>
  <si>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</si>
  <si>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</si>
  <si>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</si>
  <si>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</si>
  <si>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</si>
  <si>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</si>
  <si>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</si>
  <si>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</si>
  <si>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</si>
  <si>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</si>
  <si>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</si>
  <si>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</si>
  <si>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</si>
  <si>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</si>
  <si>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</si>
  <si>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</si>
  <si>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</si>
  <si>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</si>
  <si>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</si>
  <si>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</si>
  <si>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</si>
  <si>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</si>
  <si>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</si>
  <si>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</si>
  <si>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</si>
  <si>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</si>
  <si>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</si>
  <si>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</si>
  <si>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</si>
  <si>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</si>
  <si>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</si>
  <si>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</si>
  <si>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</si>
  <si>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</si>
  <si>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</si>
  <si>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</si>
  <si>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</si>
  <si>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</si>
  <si>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</si>
  <si>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</si>
  <si>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</si>
  <si>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</si>
  <si>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</si>
  <si>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</si>
  <si>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</si>
  <si>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</si>
  <si>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</si>
  <si>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</si>
  <si>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</si>
  <si>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</si>
  <si>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</si>
  <si>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</si>
  <si>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</si>
  <si>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</si>
  <si>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</si>
  <si>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</si>
  <si>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</si>
  <si>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</si>
  <si>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</si>
  <si>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</si>
  <si>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</si>
  <si>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</si>
  <si>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</si>
  <si>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</si>
  <si>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</si>
  <si>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</si>
  <si>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</si>
  <si>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</si>
  <si>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</si>
  <si>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</si>
  <si>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</si>
  <si>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</si>
  <si>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</si>
  <si>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</si>
  <si>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</si>
  <si>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</si>
  <si>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</si>
  <si>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</si>
  <si>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</si>
  <si>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</si>
  <si>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</si>
  <si>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</si>
  <si>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</si>
  <si>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</si>
  <si>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</si>
  <si>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</si>
  <si>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</si>
  <si>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</si>
  <si>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</si>
  <si>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</si>
  <si>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</si>
  <si>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</si>
  <si>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</si>
  <si>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</si>
  <si>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</si>
  <si>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</si>
  <si>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</si>
  <si>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</si>
  <si>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</si>
  <si>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</si>
  <si>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</si>
  <si>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</si>
  <si>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</si>
  <si>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</si>
  <si>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</si>
  <si>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</si>
  <si>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</si>
  <si>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</si>
  <si>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</si>
  <si>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</si>
  <si>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</si>
  <si>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</si>
  <si>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</si>
  <si>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</si>
  <si>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</si>
  <si>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</si>
  <si>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</si>
  <si>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</si>
  <si>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</si>
  <si>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</si>
  <si>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</si>
  <si>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</si>
  <si>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</si>
  <si>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</si>
  <si>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</si>
  <si>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</si>
  <si>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</si>
  <si>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</si>
  <si>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</si>
  <si>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</si>
  <si>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</si>
  <si>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</si>
  <si>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</si>
  <si>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</si>
  <si>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</si>
  <si>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</si>
  <si>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</si>
  <si>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</si>
  <si>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</si>
  <si>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</si>
  <si>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</si>
  <si>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</si>
  <si>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</si>
  <si>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</si>
  <si>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</si>
  <si>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</si>
  <si>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</si>
  <si>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</si>
  <si>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</si>
  <si>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</si>
  <si>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</si>
  <si>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</si>
  <si>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</si>
  <si>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</si>
  <si>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</si>
  <si>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</si>
  <si>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</si>
  <si>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</si>
  <si>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</si>
  <si>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</si>
  <si>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</si>
  <si>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</si>
  <si>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</si>
  <si>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</si>
  <si>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</si>
  <si>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</si>
  <si>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</si>
  <si>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</si>
  <si>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</si>
  <si>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</si>
  <si>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</si>
  <si>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</si>
  <si>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</si>
  <si>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</si>
  <si>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</si>
  <si>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</si>
  <si>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</si>
  <si>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</si>
  <si>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</si>
  <si>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</si>
  <si>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</si>
  <si>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</si>
  <si>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</si>
  <si>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</si>
  <si>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</si>
  <si>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</si>
  <si>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</si>
  <si>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</si>
  <si>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</si>
  <si>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</si>
  <si>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</si>
  <si>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</si>
  <si>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</si>
  <si>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</si>
  <si>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</si>
  <si>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</si>
  <si>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</si>
  <si>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</si>
  <si>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</si>
  <si>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</si>
  <si>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</si>
  <si>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</si>
  <si>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</si>
  <si>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</si>
  <si>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</si>
  <si>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</si>
  <si>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</si>
  <si>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</si>
  <si>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</si>
  <si>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</si>
  <si>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</si>
  <si>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</si>
  <si>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</si>
  <si>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</si>
  <si>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</si>
  <si>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</si>
  <si>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</si>
  <si>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</si>
  <si>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</si>
  <si>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</si>
  <si>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</si>
  <si>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</si>
  <si>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</si>
  <si>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</si>
  <si>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</si>
  <si>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</si>
  <si>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</si>
  <si>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</si>
  <si>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</si>
  <si>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</si>
  <si>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</si>
  <si>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</si>
  <si>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</si>
  <si>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</si>
  <si>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</si>
  <si>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</si>
  <si>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</si>
  <si>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</si>
  <si>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</si>
  <si>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</si>
  <si>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</si>
  <si>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</si>
  <si>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</si>
  <si>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</si>
  <si>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</si>
  <si>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</si>
  <si>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</si>
  <si>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</si>
  <si>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</si>
  <si>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</si>
  <si>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</si>
  <si>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</si>
  <si>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</si>
  <si>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</si>
  <si>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</si>
  <si>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</si>
  <si>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</si>
  <si>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</si>
  <si>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</si>
  <si>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</si>
  <si>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</si>
  <si>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</si>
  <si>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</si>
  <si>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</si>
  <si>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</si>
  <si>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</si>
  <si>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</si>
  <si>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</si>
  <si>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</si>
  <si>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</si>
  <si>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</si>
  <si>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</si>
  <si>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</si>
  <si>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</si>
  <si>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</si>
  <si>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</si>
  <si>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</si>
  <si>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</si>
  <si>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</si>
  <si>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</si>
  <si>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</si>
  <si>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</si>
  <si>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</si>
  <si>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</si>
  <si>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</si>
  <si>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</si>
  <si>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</si>
  <si>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</si>
  <si>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</si>
  <si>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</si>
  <si>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</si>
  <si>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</si>
  <si>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</si>
  <si>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</si>
  <si>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</si>
  <si>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</si>
  <si>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</si>
  <si>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</si>
  <si>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</si>
  <si>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</si>
  <si>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</si>
  <si>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</si>
  <si>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</si>
  <si>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</si>
  <si>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</si>
  <si>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</si>
  <si>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</si>
  <si>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</si>
  <si>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</si>
  <si>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</si>
  <si>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</si>
  <si>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</si>
  <si>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</si>
  <si>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</si>
  <si>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</si>
  <si>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</si>
  <si>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</si>
  <si>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</si>
  <si>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</si>
  <si>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</si>
  <si>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</si>
  <si>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</si>
  <si>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</si>
  <si>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</si>
  <si>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</si>
  <si>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</si>
  <si>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</si>
  <si>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</si>
  <si>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</si>
  <si>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</si>
  <si>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</si>
  <si>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</si>
  <si>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</si>
  <si>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</si>
  <si>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</si>
  <si>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</si>
  <si>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</si>
  <si>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</si>
  <si>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</si>
  <si>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</si>
  <si>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</si>
  <si>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</si>
  <si>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</si>
  <si>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</si>
  <si>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</si>
  <si>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</si>
  <si>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</si>
  <si>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</si>
  <si>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</si>
  <si>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</si>
  <si>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</si>
  <si>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</si>
  <si>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</si>
  <si>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</si>
  <si>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</si>
  <si>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</si>
  <si>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</si>
  <si>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</si>
  <si>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</si>
  <si>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</si>
  <si>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</si>
  <si>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</si>
  <si>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</si>
  <si>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</si>
  <si>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</si>
  <si>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</si>
  <si>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</si>
  <si>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</si>
  <si>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</si>
  <si>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</si>
  <si>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</si>
  <si>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</si>
  <si>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</si>
  <si>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</si>
  <si>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</si>
  <si>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</si>
  <si>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</si>
  <si>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</si>
  <si>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</si>
  <si>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</si>
  <si>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</si>
  <si>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</si>
  <si>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</si>
  <si>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</si>
  <si>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</si>
  <si>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</si>
  <si>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</si>
  <si>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</si>
  <si>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</si>
  <si>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</si>
  <si>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</si>
  <si>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</si>
  <si>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</si>
  <si>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</si>
  <si>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</si>
  <si>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</si>
  <si>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</si>
  <si>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</si>
  <si>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</si>
  <si>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</si>
  <si>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</si>
  <si>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</si>
  <si>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</si>
  <si>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</si>
  <si>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</si>
  <si>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</si>
  <si>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</si>
  <si>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</si>
  <si>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</si>
  <si>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</si>
  <si>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</si>
  <si>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</si>
  <si>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</si>
  <si>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</si>
  <si>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</si>
  <si>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</si>
  <si>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</si>
  <si>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</si>
  <si>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</si>
  <si>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</si>
  <si>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</si>
  <si>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</si>
  <si>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</si>
  <si>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</si>
  <si>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</si>
  <si>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</si>
  <si>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</si>
  <si>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</si>
  <si>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</si>
  <si>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</si>
  <si>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</si>
  <si>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</si>
  <si>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</si>
  <si>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</si>
  <si>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</si>
  <si>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</si>
  <si>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</si>
  <si>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</si>
  <si>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</si>
  <si>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</si>
  <si>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</si>
  <si>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</si>
  <si>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</si>
  <si>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</si>
  <si>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</si>
  <si>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</si>
  <si>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</si>
  <si>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</si>
  <si>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</si>
  <si>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</si>
  <si>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</si>
  <si>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</si>
  <si>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</si>
  <si>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</si>
  <si>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</si>
  <si>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</si>
  <si>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</si>
  <si>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</si>
  <si>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</si>
  <si>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</si>
  <si>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</si>
  <si>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</si>
  <si>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</si>
  <si>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</si>
  <si>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</si>
  <si>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</si>
  <si>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</si>
  <si>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</si>
  <si>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</si>
  <si>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</si>
  <si>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</si>
  <si>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</si>
  <si>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</si>
  <si>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</si>
  <si>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</si>
  <si>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</si>
  <si>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</si>
  <si>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</si>
  <si>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</si>
  <si>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</si>
  <si>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</si>
  <si>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</si>
  <si>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</si>
  <si>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</si>
  <si>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</si>
  <si>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</si>
  <si>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</si>
  <si>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</si>
  <si>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</si>
  <si>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</si>
  <si>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</si>
  <si>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</si>
  <si>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</si>
  <si>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</si>
  <si>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</si>
  <si>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</si>
  <si>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</si>
  <si>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</si>
  <si>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</si>
  <si>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</si>
  <si>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</si>
  <si>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</si>
  <si>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</si>
  <si>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</si>
  <si>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</si>
  <si>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</si>
  <si>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</si>
  <si>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</si>
  <si>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</si>
  <si>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</si>
  <si>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</si>
  <si>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</si>
  <si>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</si>
  <si>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</si>
  <si>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</si>
  <si>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</si>
  <si>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</si>
  <si>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</si>
  <si>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</si>
  <si>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</si>
  <si>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</si>
  <si>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</si>
  <si>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</si>
  <si>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</si>
  <si>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</si>
  <si>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</si>
  <si>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</si>
  <si>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</si>
  <si>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</si>
  <si>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</si>
  <si>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</si>
  <si>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</si>
  <si>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</si>
  <si>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</si>
  <si>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</si>
  <si>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</si>
  <si>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</si>
  <si>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</si>
  <si>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</si>
  <si>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</si>
  <si>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</si>
  <si>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</si>
  <si>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</si>
  <si>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</si>
  <si>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</si>
  <si>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</si>
  <si>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</si>
  <si>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</si>
  <si>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</si>
  <si>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</si>
  <si>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</si>
  <si>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</si>
  <si>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</si>
  <si>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</si>
  <si>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</si>
  <si>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</si>
  <si>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</si>
  <si>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</si>
  <si>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</si>
  <si>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</si>
  <si>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</si>
  <si>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</si>
  <si>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</si>
  <si>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</si>
  <si>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</si>
  <si>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</si>
  <si>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</si>
  <si>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</si>
  <si>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</si>
  <si>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</si>
  <si>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</si>
  <si>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</si>
  <si>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</si>
  <si>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</si>
  <si>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</si>
  <si>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</si>
  <si>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</si>
  <si>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</si>
  <si>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</si>
  <si>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</si>
  <si>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</si>
  <si>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</si>
  <si>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</si>
  <si>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</si>
  <si>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</si>
  <si>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</si>
  <si>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</si>
  <si>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</si>
  <si>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</si>
  <si>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</si>
  <si>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</si>
  <si>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</si>
  <si>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</si>
  <si>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</si>
  <si>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</si>
  <si>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</si>
  <si>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</si>
  <si>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</si>
  <si>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</si>
  <si>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</si>
  <si>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</si>
  <si>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</si>
  <si>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</si>
  <si>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</si>
  <si>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</si>
  <si>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</si>
  <si>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</si>
  <si>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</si>
  <si>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</si>
  <si>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</si>
  <si>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</si>
  <si>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</si>
  <si>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</si>
  <si>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</si>
  <si>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</si>
  <si>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</si>
  <si>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</si>
  <si>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</si>
  <si>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</si>
  <si>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</si>
  <si>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</si>
  <si>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</si>
  <si>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</si>
  <si>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</si>
  <si>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</si>
  <si>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</si>
  <si>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</si>
  <si>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</si>
  <si>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</si>
  <si>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</si>
  <si>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</si>
  <si>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</si>
  <si>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</si>
  <si>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</si>
  <si>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</si>
  <si>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</si>
  <si>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</si>
  <si>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</si>
  <si>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</si>
  <si>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</si>
  <si>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</si>
  <si>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</si>
  <si>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</si>
  <si>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</si>
  <si>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</si>
  <si>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</si>
  <si>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</si>
  <si>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</si>
  <si>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</si>
  <si>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</si>
  <si>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</si>
  <si>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</si>
  <si>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</si>
  <si>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</si>
  <si>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</si>
  <si>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</si>
  <si>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</si>
  <si>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</si>
  <si>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</si>
  <si>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</si>
  <si>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</si>
  <si>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</si>
  <si>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</si>
  <si>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</si>
  <si>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</si>
  <si>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</si>
  <si>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</si>
  <si>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</si>
  <si>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</si>
  <si>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</si>
  <si>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</si>
  <si>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</si>
  <si>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</si>
  <si>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</si>
  <si>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</si>
  <si>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</si>
  <si>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</si>
  <si>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</si>
  <si>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</si>
  <si>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</si>
  <si>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</si>
  <si>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</si>
  <si>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</si>
  <si>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</si>
  <si>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</si>
  <si>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</si>
  <si>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</si>
  <si>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</si>
  <si>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</si>
  <si>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</si>
  <si>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</si>
  <si>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</si>
  <si>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</si>
  <si>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</si>
  <si>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</si>
  <si>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</si>
  <si>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</si>
  <si>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</si>
  <si>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</si>
  <si>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</si>
  <si>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</si>
  <si>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</si>
  <si>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</si>
  <si>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</si>
  <si>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</si>
  <si>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</si>
  <si>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</si>
  <si>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</si>
  <si>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</si>
  <si>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</si>
  <si>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</si>
  <si>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</si>
  <si>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</si>
  <si>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</si>
  <si>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</si>
  <si>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</si>
  <si>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</si>
  <si>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</si>
  <si>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</si>
  <si>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</si>
  <si>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</si>
  <si>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</si>
  <si>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</si>
  <si>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</si>
  <si>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</si>
  <si>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</si>
  <si>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</si>
  <si>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</si>
  <si>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</si>
  <si>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</si>
  <si>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</si>
  <si>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</si>
  <si>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</si>
  <si>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</si>
  <si>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</si>
  <si>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</si>
  <si>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</si>
  <si>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</si>
  <si>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</si>
  <si>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</si>
  <si>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</si>
  <si>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</si>
  <si>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</si>
  <si>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</si>
  <si>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</si>
  <si>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</si>
  <si>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</si>
  <si>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</si>
  <si>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</si>
  <si>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</si>
  <si>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</si>
  <si>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</si>
  <si>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</si>
  <si>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</si>
  <si>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</si>
  <si>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</si>
  <si>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</si>
  <si>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</si>
  <si>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</si>
  <si>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</si>
  <si>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</si>
  <si>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</si>
  <si>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</si>
  <si>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</si>
  <si>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</si>
  <si>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</si>
  <si>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</si>
  <si>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</si>
  <si>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</si>
  <si>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</si>
  <si>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</si>
  <si>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</si>
  <si>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</si>
  <si>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</si>
  <si>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</si>
  <si>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</si>
  <si>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</si>
  <si>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</si>
  <si>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</si>
  <si>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</si>
  <si>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</si>
  <si>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</si>
  <si>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</si>
  <si>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</si>
  <si>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</si>
  <si>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</si>
  <si>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</si>
  <si>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</si>
  <si>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</si>
  <si>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</si>
  <si>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</si>
  <si>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</si>
  <si>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</si>
  <si>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</si>
  <si>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</si>
  <si>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</si>
  <si>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</si>
  <si>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</si>
  <si>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</si>
  <si>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</si>
  <si>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</si>
  <si>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</si>
  <si>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</si>
  <si>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</si>
  <si>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</si>
  <si>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</si>
  <si>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</si>
  <si>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</si>
  <si>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</si>
  <si>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</si>
  <si>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</si>
  <si>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</si>
  <si>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</si>
  <si>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</si>
  <si>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</si>
  <si>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</si>
  <si>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</si>
  <si>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</si>
  <si>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</si>
  <si>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</si>
  <si>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</si>
  <si>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</si>
  <si>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</si>
  <si>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</si>
  <si>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</si>
  <si>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</si>
  <si>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</si>
  <si>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</si>
  <si>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</si>
  <si>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</si>
  <si>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</si>
  <si>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</si>
  <si>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</si>
  <si>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</si>
  <si>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</si>
  <si>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</si>
  <si>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</si>
  <si>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</si>
  <si>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</si>
  <si>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</si>
  <si>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</si>
  <si>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</si>
  <si>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</si>
  <si>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</si>
  <si>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</si>
  <si>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</si>
  <si>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</si>
  <si>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</si>
  <si>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</si>
  <si>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</si>
  <si>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</si>
  <si>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</si>
  <si>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</si>
  <si>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</si>
  <si>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</si>
  <si>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</si>
  <si>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</si>
  <si>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</si>
  <si>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</si>
  <si>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</si>
  <si>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</si>
  <si>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</si>
  <si>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</si>
  <si>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</si>
  <si>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</si>
  <si>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</si>
  <si>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</si>
  <si>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</si>
  <si>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</si>
  <si>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</si>
  <si>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</si>
  <si>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</si>
  <si>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</si>
  <si>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</si>
  <si>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</si>
  <si>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</si>
  <si>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</si>
  <si>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</si>
  <si>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</si>
  <si>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</si>
  <si>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</si>
  <si>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</si>
  <si>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</si>
  <si>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</si>
  <si>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</si>
  <si>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</si>
  <si>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</si>
  <si>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</si>
  <si>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</si>
  <si>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</si>
  <si>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</si>
  <si>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</si>
  <si>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</si>
  <si>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</si>
  <si>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</si>
  <si>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</si>
  <si>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</si>
  <si>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</si>
  <si>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</si>
  <si>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</si>
  <si>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</si>
  <si>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</si>
  <si>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</si>
  <si>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</si>
  <si>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</si>
  <si>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</si>
  <si>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</si>
  <si>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</si>
  <si>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</si>
  <si>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</si>
  <si>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</si>
  <si>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</si>
  <si>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</si>
  <si>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</si>
  <si>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</si>
  <si>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</si>
  <si>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</si>
  <si>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</si>
  <si>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</si>
  <si>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</si>
  <si>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</si>
  <si>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</si>
  <si>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</si>
  <si>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</si>
  <si>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</si>
  <si>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</si>
  <si>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</si>
  <si>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</si>
  <si>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</si>
  <si>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</si>
  <si>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</si>
  <si>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</si>
  <si>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</si>
  <si>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</si>
  <si>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</si>
  <si>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</si>
  <si>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</si>
  <si>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</si>
  <si>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</si>
  <si>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</si>
  <si>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</si>
  <si>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</si>
  <si>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</si>
  <si>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</si>
  <si>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</si>
  <si>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</si>
  <si>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</si>
  <si>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</si>
  <si>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</si>
  <si>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</si>
  <si>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</si>
  <si>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</si>
  <si>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</si>
  <si>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</si>
  <si>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</si>
  <si>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</si>
  <si>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</si>
  <si>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</si>
  <si>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</si>
  <si>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</si>
  <si>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</si>
  <si>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</si>
  <si>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</si>
  <si>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</si>
  <si>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</si>
  <si>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</si>
  <si>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</si>
  <si>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</si>
  <si>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</si>
  <si>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</si>
  <si>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</si>
  <si>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</si>
  <si>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</si>
  <si>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</si>
  <si>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</si>
  <si>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</si>
  <si>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</si>
  <si>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</si>
  <si>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</si>
  <si>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</si>
  <si>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</si>
  <si>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</si>
  <si>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</si>
  <si>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</si>
  <si>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</si>
  <si>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</si>
  <si>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</si>
  <si>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</si>
  <si>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</si>
  <si>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</si>
  <si>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</si>
  <si>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</si>
  <si>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</si>
  <si>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</si>
  <si>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</si>
  <si>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</si>
  <si>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</si>
  <si>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</si>
  <si>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</si>
  <si>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</si>
  <si>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</si>
  <si>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</si>
  <si>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</si>
  <si>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</si>
  <si>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</si>
  <si>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</si>
  <si>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</si>
  <si>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</si>
  <si>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</si>
  <si>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</si>
  <si>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</si>
  <si>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</si>
  <si>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</si>
  <si>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</si>
  <si>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</si>
  <si>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</si>
  <si>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</si>
  <si>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</si>
  <si>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</si>
  <si>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</si>
  <si>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</si>
  <si>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</si>
  <si>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</si>
  <si>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</si>
  <si>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</si>
  <si>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</si>
  <si>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</si>
  <si>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</si>
  <si>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</si>
  <si>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</si>
  <si>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</si>
  <si>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</si>
  <si>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</si>
  <si>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</si>
  <si>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</si>
  <si>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</si>
  <si>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</si>
  <si>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</si>
  <si>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</si>
  <si>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</si>
  <si>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</si>
  <si>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</si>
  <si>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</si>
  <si>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</si>
  <si>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</si>
  <si>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</si>
  <si>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</si>
  <si>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</si>
  <si>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</si>
  <si>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</si>
  <si>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</si>
  <si>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</si>
  <si>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</si>
  <si>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</si>
  <si>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</si>
  <si>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</si>
  <si>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</si>
  <si>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</si>
  <si>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</si>
  <si>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</si>
  <si>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</si>
  <si>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</si>
  <si>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</si>
  <si>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</si>
  <si>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</si>
  <si>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</si>
  <si>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</si>
  <si>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</si>
  <si>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</si>
  <si>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</si>
  <si>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</si>
  <si>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</si>
  <si>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</si>
  <si>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</si>
  <si>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</si>
  <si>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</si>
  <si>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</si>
  <si>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</si>
  <si>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</si>
  <si>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</si>
  <si>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</si>
  <si>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</si>
  <si>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</si>
  <si>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</si>
  <si>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</si>
  <si>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</si>
  <si>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</si>
  <si>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</si>
  <si>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</si>
  <si>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</si>
  <si>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</si>
  <si>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</si>
  <si>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</si>
  <si>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</si>
  <si>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</si>
  <si>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</si>
  <si>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</si>
  <si>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</si>
  <si>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</si>
  <si>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</si>
  <si>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</si>
  <si>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</si>
  <si>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</si>
  <si>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</si>
  <si>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</si>
  <si>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</si>
  <si>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</si>
  <si>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</si>
  <si>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</si>
  <si>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</si>
  <si>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</si>
  <si>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</si>
  <si>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</si>
  <si>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</si>
  <si>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</si>
  <si>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</si>
  <si>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</si>
  <si>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</si>
  <si>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</si>
  <si>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</si>
  <si>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</si>
  <si>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</si>
  <si>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</si>
  <si>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</si>
  <si>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</si>
  <si>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</si>
  <si>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</si>
  <si>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</si>
  <si>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</si>
  <si>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</si>
  <si>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</si>
  <si>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</si>
  <si>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</si>
  <si>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</si>
  <si>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</si>
  <si>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</si>
  <si>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</si>
  <si>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</si>
  <si>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</si>
  <si>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</si>
  <si>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</si>
  <si>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</si>
  <si>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</si>
  <si>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</si>
  <si>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</si>
  <si>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</si>
  <si>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</si>
  <si>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</si>
  <si>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</si>
  <si>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</si>
  <si>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</si>
  <si>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</si>
  <si>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</si>
  <si>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</si>
  <si>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</si>
  <si>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</si>
  <si>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</si>
  <si>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</si>
  <si>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</si>
  <si>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</si>
  <si>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</si>
  <si>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</si>
  <si>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</si>
  <si>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</si>
  <si>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</si>
  <si>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</si>
  <si>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</si>
  <si>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</si>
  <si>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</si>
  <si>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</si>
  <si>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</si>
  <si>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</si>
  <si>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</si>
  <si>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</si>
  <si>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</si>
  <si>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</si>
  <si>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</si>
  <si>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</si>
  <si>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</si>
  <si>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</si>
  <si>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</si>
  <si>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</si>
  <si>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</si>
  <si>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</si>
  <si>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</si>
  <si>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</si>
  <si>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</si>
  <si>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</si>
  <si>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</si>
  <si>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</si>
  <si>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</si>
  <si>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</si>
  <si>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</si>
  <si>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</si>
  <si>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</si>
  <si>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</si>
  <si>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</si>
  <si>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</si>
  <si>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</si>
  <si>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</si>
  <si>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</si>
  <si>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</si>
  <si>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</si>
  <si>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</si>
  <si>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</si>
  <si>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</si>
  <si>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</si>
  <si>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</si>
  <si>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</si>
  <si>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</si>
  <si>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</si>
  <si>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</si>
  <si>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</si>
  <si>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</si>
  <si>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</si>
  <si>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</si>
  <si>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</si>
  <si>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</si>
  <si>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</si>
  <si>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</si>
  <si>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</si>
  <si>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</si>
  <si>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</si>
  <si>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</si>
  <si>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</si>
  <si>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</si>
  <si>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</si>
  <si>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</si>
  <si>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</si>
  <si>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</si>
  <si>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</si>
  <si>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</si>
  <si>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</si>
  <si>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</si>
  <si>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</si>
  <si>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</si>
  <si>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</si>
  <si>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</si>
  <si>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</si>
  <si>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</si>
  <si>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</si>
  <si>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</si>
  <si>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</si>
  <si>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</si>
  <si>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</si>
  <si>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</si>
  <si>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</si>
  <si>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</si>
  <si>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</si>
  <si>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</si>
  <si>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</si>
  <si>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</si>
  <si>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</si>
  <si>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</si>
  <si>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</si>
  <si>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</si>
  <si>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</si>
  <si>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</si>
  <si>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</si>
  <si>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</si>
  <si>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</si>
  <si>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</si>
  <si>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</si>
  <si>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</si>
  <si>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</si>
  <si>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</si>
  <si>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</si>
  <si>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</si>
  <si>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</si>
  <si>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</si>
  <si>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</si>
  <si>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</si>
  <si>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</si>
  <si>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</si>
  <si>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</si>
  <si>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</si>
  <si>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</si>
  <si>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</si>
  <si>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</si>
  <si>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</si>
  <si>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</si>
  <si>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</si>
  <si>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</si>
  <si>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</si>
  <si>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</si>
  <si>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</si>
  <si>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</si>
  <si>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</si>
  <si>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</si>
  <si>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</si>
  <si>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</si>
  <si>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</si>
  <si>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</si>
  <si>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</si>
  <si>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</si>
  <si>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</si>
  <si>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</si>
  <si>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</si>
  <si>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</si>
  <si>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</si>
  <si>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</si>
  <si>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</si>
  <si>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</si>
  <si>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</si>
  <si>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</si>
  <si>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</si>
  <si>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</si>
  <si>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</si>
  <si>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</si>
  <si>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</si>
  <si>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</si>
  <si>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</si>
  <si>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</si>
  <si>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</si>
  <si>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</si>
  <si>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</si>
  <si>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</si>
  <si>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</si>
  <si>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</si>
  <si>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</si>
  <si>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</si>
  <si>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</si>
  <si>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</si>
  <si>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</si>
  <si>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</si>
  <si>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</si>
  <si>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</si>
  <si>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</si>
  <si>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</si>
  <si>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</si>
  <si>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</si>
  <si>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</si>
  <si>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</si>
  <si>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</si>
  <si>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</si>
  <si>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</si>
  <si>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</si>
  <si>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</si>
  <si>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</si>
  <si>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</si>
  <si>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</si>
  <si>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</si>
  <si>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</si>
  <si>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</si>
  <si>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</si>
  <si>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</si>
  <si>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</si>
  <si>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</si>
  <si>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</si>
  <si>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</si>
  <si>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</si>
  <si>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</si>
  <si>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</si>
  <si>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</si>
  <si>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</si>
  <si>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</si>
  <si>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</si>
  <si>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</si>
  <si>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</si>
  <si>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</si>
  <si>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</si>
  <si>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</si>
  <si>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</si>
  <si>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</si>
  <si>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</si>
  <si>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</si>
  <si>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</si>
  <si>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</si>
  <si>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</si>
  <si>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</si>
  <si>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</si>
  <si>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</si>
  <si>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</si>
  <si>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</si>
  <si>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</si>
  <si>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</si>
  <si>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</si>
  <si>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</si>
  <si>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</si>
  <si>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</si>
  <si>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</si>
  <si>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</si>
  <si>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</si>
  <si>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</si>
  <si>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</si>
  <si>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</si>
  <si>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</si>
  <si>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</si>
  <si>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</si>
  <si>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</si>
  <si>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</si>
  <si>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</si>
  <si>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</si>
  <si>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</si>
  <si>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</si>
  <si>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</si>
  <si>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</si>
  <si>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</si>
  <si>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</si>
  <si>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</si>
  <si>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</si>
  <si>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</si>
  <si>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</si>
  <si>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</si>
  <si>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</si>
  <si>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</si>
  <si>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</si>
  <si>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</si>
  <si>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</si>
  <si>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</si>
  <si>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</si>
  <si>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</si>
  <si>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</si>
  <si>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</si>
  <si>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</si>
  <si>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</si>
  <si>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</si>
  <si>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</si>
  <si>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</si>
  <si>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</si>
  <si>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</si>
  <si>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</si>
  <si>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</si>
  <si>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</si>
  <si>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</si>
  <si>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</si>
  <si>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</si>
  <si>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</si>
  <si>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</si>
  <si>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</si>
  <si>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</si>
  <si>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</si>
  <si>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</si>
  <si>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</si>
  <si>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</si>
  <si>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</si>
  <si>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</si>
  <si>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</si>
  <si>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</si>
  <si>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</si>
  <si>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</si>
  <si>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</si>
  <si>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</si>
  <si>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</si>
  <si>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</si>
  <si>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</si>
  <si>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</si>
  <si>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</si>
  <si>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</si>
  <si>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</si>
  <si>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</si>
  <si>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</si>
  <si>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</si>
  <si>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</si>
  <si>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</si>
  <si>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</si>
  <si>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</si>
  <si>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</si>
  <si>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</si>
  <si>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</si>
  <si>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</si>
  <si>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</si>
  <si>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</si>
  <si>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</si>
  <si>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</si>
  <si>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</si>
  <si>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</si>
  <si>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</si>
  <si>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</si>
  <si>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</si>
  <si>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</si>
  <si>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</si>
  <si>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</si>
  <si>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</si>
  <si>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</si>
  <si>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</si>
  <si>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</si>
  <si>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</si>
  <si>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</si>
  <si>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</si>
  <si>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</si>
  <si>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</si>
  <si>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</si>
  <si>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</si>
  <si>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</si>
  <si>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</si>
  <si>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</si>
  <si>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</si>
  <si>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</si>
  <si>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</si>
  <si>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</si>
  <si>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</si>
  <si>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</si>
  <si>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</si>
  <si>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</si>
  <si>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</si>
  <si>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</si>
  <si>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</si>
  <si>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</si>
  <si>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</si>
  <si>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</si>
  <si>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</si>
  <si>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</si>
  <si>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</si>
  <si>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</si>
  <si>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</si>
  <si>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</si>
  <si>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</si>
  <si>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</si>
  <si>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</si>
  <si>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</si>
  <si>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</si>
  <si>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</si>
  <si>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</si>
  <si>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</si>
  <si>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</si>
  <si>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</si>
  <si>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</si>
  <si>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</si>
  <si>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</si>
  <si>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</si>
  <si>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</si>
  <si>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</si>
  <si>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</si>
  <si>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</si>
  <si>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</si>
  <si>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</si>
  <si>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</si>
  <si>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</si>
  <si>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</si>
  <si>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</si>
  <si>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</si>
  <si>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</si>
  <si>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</si>
  <si>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</si>
  <si>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</si>
  <si>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</si>
  <si>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</si>
  <si>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</si>
  <si>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</si>
  <si>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</si>
  <si>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</si>
  <si>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</si>
  <si>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</si>
  <si>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</si>
  <si>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</si>
  <si>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</si>
  <si>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</si>
  <si>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</si>
  <si>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</si>
  <si>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</si>
  <si>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</si>
  <si>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</si>
  <si>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</si>
  <si>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</si>
  <si>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</si>
  <si>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</si>
  <si>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</si>
  <si>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</si>
  <si>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</si>
  <si>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</si>
  <si>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</si>
  <si>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</si>
  <si>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</si>
  <si>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</si>
  <si>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</si>
  <si>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</si>
  <si>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</si>
  <si>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</si>
  <si>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</si>
  <si>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</si>
  <si>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</si>
  <si>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</si>
  <si>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</si>
  <si>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</si>
  <si>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</si>
  <si>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</si>
  <si>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</si>
  <si>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</si>
  <si>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</si>
  <si>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</si>
  <si>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</si>
  <si>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</si>
  <si>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</si>
  <si>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</si>
  <si>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</si>
  <si>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</si>
  <si>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</si>
  <si>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</si>
  <si>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</si>
  <si>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</si>
  <si>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</si>
  <si>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</si>
  <si>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</si>
  <si>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</si>
  <si>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</si>
  <si>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</si>
  <si>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</si>
  <si>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</si>
  <si>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</si>
  <si>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</si>
  <si>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</si>
  <si>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</si>
  <si>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</si>
  <si>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</si>
  <si>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</si>
  <si>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</si>
  <si>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</si>
  <si>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</si>
  <si>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</si>
  <si>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</si>
  <si>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</si>
  <si>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</si>
  <si>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</si>
  <si>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</si>
  <si>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</si>
  <si>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</si>
  <si>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</si>
  <si>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</si>
  <si>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</si>
  <si>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</si>
  <si>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</si>
  <si>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</si>
  <si>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</si>
  <si>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</si>
  <si>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</si>
  <si>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</si>
  <si>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</si>
  <si>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</si>
  <si>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</si>
  <si>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</si>
  <si>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</si>
  <si>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</si>
  <si>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</si>
  <si>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</si>
  <si>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</si>
  <si>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</si>
  <si>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</si>
  <si>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</si>
  <si>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</si>
  <si>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</si>
  <si>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</si>
  <si>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</si>
  <si>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</si>
  <si>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</si>
  <si>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</si>
  <si>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</si>
  <si>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</si>
  <si>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</si>
  <si>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</si>
  <si>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</si>
  <si>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</si>
  <si>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</si>
  <si>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</si>
  <si>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</si>
  <si>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</si>
  <si>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</si>
  <si>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</si>
  <si>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</si>
  <si>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</si>
  <si>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</si>
  <si>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</si>
  <si>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</si>
  <si>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</si>
  <si>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</si>
  <si>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</si>
  <si>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</si>
  <si>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</si>
  <si>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</si>
  <si>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</si>
  <si>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</si>
  <si>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</si>
  <si>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</si>
  <si>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</si>
  <si>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</si>
  <si>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</si>
  <si>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</si>
  <si>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</si>
  <si>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</si>
  <si>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</si>
  <si>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</si>
  <si>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</si>
  <si>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</si>
  <si>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</si>
  <si>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</si>
  <si>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</si>
  <si>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</si>
  <si>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</si>
  <si>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</si>
  <si>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</si>
  <si>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</si>
  <si>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</si>
  <si>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</si>
  <si>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</si>
  <si>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</si>
  <si>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</si>
  <si>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</si>
  <si>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</si>
  <si>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</si>
  <si>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</si>
  <si>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</si>
  <si>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</si>
  <si>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</si>
  <si>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</si>
  <si>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</si>
  <si>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</si>
  <si>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</si>
  <si>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</si>
  <si>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</si>
  <si>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</si>
  <si>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</si>
  <si>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</si>
  <si>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</si>
  <si>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</si>
  <si>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</si>
  <si>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</si>
  <si>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</si>
  <si>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</si>
  <si>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</si>
  <si>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</si>
  <si>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</si>
  <si>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</si>
  <si>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</si>
  <si>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</si>
  <si>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</si>
  <si>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</si>
  <si>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</si>
  <si>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</si>
  <si>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</si>
  <si>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</si>
  <si>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</si>
  <si>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</si>
  <si>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</si>
  <si>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</si>
  <si>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</si>
  <si>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</si>
  <si>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</si>
  <si>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</si>
  <si>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</si>
  <si>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</si>
  <si>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</si>
  <si>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</si>
  <si>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</si>
  <si>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</si>
  <si>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</si>
  <si>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</si>
  <si>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</si>
  <si>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</si>
  <si>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</si>
  <si>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</si>
  <si>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</si>
  <si>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</si>
  <si>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</si>
  <si>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</si>
  <si>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</si>
  <si>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</si>
  <si>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</si>
  <si>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</si>
  <si>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</si>
  <si>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</si>
  <si>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</si>
  <si>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</si>
  <si>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</si>
  <si>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</si>
  <si>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</si>
  <si>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</si>
  <si>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</si>
  <si>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</si>
  <si>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</si>
  <si>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</si>
  <si>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</si>
  <si>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</si>
  <si>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</si>
  <si>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</si>
  <si>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</si>
  <si>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</si>
  <si>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</si>
  <si>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</si>
  <si>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</si>
  <si>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</si>
  <si>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</si>
  <si>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</si>
  <si>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</si>
  <si>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</si>
  <si>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</si>
  <si>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</si>
  <si>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</si>
  <si>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</si>
  <si>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</si>
  <si>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</si>
  <si>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</si>
  <si>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</si>
  <si>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</si>
  <si>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</si>
  <si>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</si>
  <si>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</si>
  <si>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</si>
  <si>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</si>
  <si>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</si>
  <si>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</si>
  <si>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</si>
  <si>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</si>
  <si>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</si>
  <si>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</si>
  <si>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</si>
  <si>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</si>
  <si>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</si>
  <si>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</si>
  <si>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</si>
  <si>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</si>
  <si>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</si>
  <si>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</si>
  <si>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</si>
  <si>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</si>
  <si>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</si>
  <si>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</si>
  <si>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</si>
  <si>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</si>
  <si>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</si>
  <si>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</si>
  <si>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</si>
  <si>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</si>
  <si>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</si>
  <si>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</si>
  <si>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</si>
  <si>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</si>
  <si>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</si>
  <si>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</si>
  <si>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</si>
  <si>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</si>
  <si>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</si>
  <si>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</si>
  <si>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</si>
  <si>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</si>
  <si>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</si>
  <si>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</si>
  <si>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</si>
  <si>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</si>
  <si>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</si>
  <si>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</si>
  <si>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</si>
  <si>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</si>
  <si>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</si>
  <si>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</si>
  <si>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</si>
  <si>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</si>
  <si>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</si>
  <si>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</si>
  <si>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</si>
  <si>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</si>
  <si>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</si>
  <si>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</si>
  <si>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</si>
  <si>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</si>
  <si>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</si>
  <si>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</si>
  <si>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</si>
  <si>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</si>
  <si>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</si>
  <si>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</si>
  <si>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</si>
  <si>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</si>
  <si>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</si>
  <si>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</si>
  <si>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</si>
  <si>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</si>
  <si>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</si>
  <si>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</si>
  <si>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</si>
  <si>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</si>
  <si>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</si>
  <si>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</si>
  <si>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</si>
  <si>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</si>
  <si>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</si>
  <si>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</si>
  <si>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</si>
  <si>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</si>
  <si>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</si>
  <si>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</si>
  <si>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</si>
  <si>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</si>
  <si>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</si>
  <si>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</si>
  <si>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</si>
  <si>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</si>
  <si>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</si>
  <si>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</si>
  <si>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</si>
  <si>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</si>
  <si>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</si>
  <si>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</si>
  <si>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</si>
  <si>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</si>
  <si>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</si>
  <si>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</si>
  <si>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</si>
  <si>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</si>
  <si>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</si>
  <si>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</si>
  <si>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</si>
  <si>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</si>
  <si>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</si>
  <si>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</si>
  <si>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</si>
  <si>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</si>
  <si>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</si>
  <si>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</si>
  <si>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</si>
  <si>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</si>
  <si>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</si>
  <si>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</si>
  <si>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</si>
  <si>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</si>
  <si>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</si>
  <si>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</si>
  <si>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</si>
  <si>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</si>
  <si>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</si>
  <si>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</si>
  <si>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</si>
  <si>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</si>
  <si>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</si>
  <si>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</si>
  <si>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</si>
  <si>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</si>
  <si>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</si>
  <si>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</si>
  <si>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</si>
  <si>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</si>
  <si>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</si>
  <si>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</si>
  <si>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</si>
  <si>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</si>
  <si>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</si>
  <si>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</si>
  <si>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</si>
  <si>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</si>
  <si>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</si>
  <si>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</si>
  <si>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</si>
  <si>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</si>
  <si>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</si>
  <si>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</si>
  <si>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</si>
  <si>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</si>
  <si>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</si>
  <si>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</si>
  <si>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</si>
  <si>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</si>
  <si>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</si>
  <si>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</si>
  <si>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</si>
  <si>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</si>
  <si>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</si>
  <si>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</si>
  <si>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</si>
  <si>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</si>
  <si>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</si>
  <si>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</si>
  <si>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</si>
  <si>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</si>
  <si>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</si>
  <si>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</si>
  <si>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</si>
  <si>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</si>
  <si>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</si>
  <si>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</si>
  <si>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</si>
  <si>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</si>
  <si>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</si>
  <si>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</si>
  <si>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</si>
  <si>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</si>
  <si>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</si>
  <si>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</si>
  <si>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</si>
  <si>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</si>
  <si>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</si>
  <si>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</si>
  <si>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</si>
  <si>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</si>
  <si>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</si>
  <si>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</si>
  <si>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</si>
  <si>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</si>
  <si>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</si>
  <si>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</si>
  <si>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</si>
  <si>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</si>
  <si>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</si>
  <si>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</si>
  <si>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</si>
  <si>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</si>
  <si>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</si>
  <si>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</si>
  <si>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</si>
  <si>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</si>
  <si>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</si>
  <si>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</si>
  <si>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</si>
  <si>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</si>
  <si>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</si>
  <si>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</si>
  <si>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</si>
  <si>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</si>
  <si>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</si>
  <si>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</si>
  <si>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</si>
  <si>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</si>
  <si>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</si>
  <si>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</si>
  <si>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</si>
  <si>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</si>
  <si>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</si>
  <si>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</si>
  <si>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</si>
  <si>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</si>
  <si>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</si>
  <si>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</si>
  <si>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</si>
  <si>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</si>
  <si>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</si>
  <si>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</si>
  <si>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</si>
  <si>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</si>
  <si>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</si>
  <si>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</si>
  <si>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</si>
  <si>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</si>
  <si>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</si>
  <si>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</si>
  <si>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</si>
  <si>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</si>
  <si>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</si>
  <si>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</si>
  <si>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</si>
  <si>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</si>
  <si>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</si>
  <si>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</si>
  <si>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</si>
  <si>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</si>
  <si>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</si>
  <si>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</si>
  <si>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</si>
  <si>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</si>
  <si>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</si>
  <si>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</si>
  <si>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</si>
  <si>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</si>
  <si>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</si>
  <si>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</si>
  <si>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</si>
  <si>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</si>
  <si>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</si>
  <si>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</si>
  <si>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</si>
  <si>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</si>
  <si>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</si>
  <si>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</si>
  <si>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</si>
  <si>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</si>
  <si>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</si>
  <si>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</si>
  <si>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</si>
  <si>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</si>
  <si>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</si>
  <si>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</si>
  <si>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</si>
  <si>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</si>
  <si>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</si>
  <si>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</si>
  <si>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</si>
  <si>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</si>
  <si>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</si>
  <si>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</si>
  <si>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</si>
  <si>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</si>
  <si>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</si>
  <si>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</si>
  <si>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</si>
  <si>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</si>
  <si>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</si>
  <si>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</si>
  <si>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</si>
  <si>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</si>
  <si>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</si>
  <si>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</si>
  <si>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</si>
  <si>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</si>
  <si>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</si>
  <si>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</si>
  <si>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</si>
  <si>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</si>
  <si>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</si>
  <si>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</si>
  <si>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</si>
  <si>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</si>
  <si>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</si>
  <si>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</si>
  <si>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</si>
  <si>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</si>
  <si>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</si>
  <si>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</si>
  <si>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</si>
  <si>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</si>
  <si>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</si>
  <si>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</si>
  <si>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</si>
  <si>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</si>
  <si>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</si>
  <si>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</si>
  <si>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</si>
  <si>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</si>
  <si>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</si>
  <si>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</si>
  <si>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</si>
  <si>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</si>
  <si>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</si>
  <si>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</si>
  <si>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</si>
  <si>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</si>
  <si>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</si>
  <si>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</si>
  <si>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</si>
  <si>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</si>
  <si>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</si>
  <si>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</si>
  <si>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</si>
  <si>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</si>
  <si>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</si>
  <si>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</si>
  <si>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</si>
  <si>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</si>
  <si>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</si>
  <si>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</si>
  <si>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</si>
  <si>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</si>
  <si>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</si>
  <si>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</si>
  <si>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</si>
  <si>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</si>
  <si>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</si>
  <si>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</si>
  <si>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</si>
  <si>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</si>
  <si>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</si>
  <si>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</si>
  <si>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</si>
  <si>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</si>
  <si>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</si>
  <si>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</si>
  <si>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</si>
  <si>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</si>
  <si>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</si>
  <si>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</si>
  <si>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</si>
  <si>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</si>
  <si>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</si>
  <si>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</si>
  <si>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</si>
  <si>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</si>
  <si>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</si>
  <si>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</si>
  <si>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</si>
  <si>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</si>
  <si>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</si>
  <si>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</si>
  <si>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</si>
  <si>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</si>
  <si>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</si>
  <si>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</si>
  <si>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</si>
  <si>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</si>
  <si>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</si>
  <si>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</si>
  <si>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</si>
  <si>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</si>
  <si>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</si>
  <si>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</si>
  <si>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</si>
  <si>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</si>
  <si>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</si>
  <si>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</si>
  <si>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</si>
  <si>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</si>
  <si>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</si>
  <si>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</si>
  <si>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</si>
  <si>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</si>
  <si>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</si>
  <si>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</si>
  <si>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</si>
  <si>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</si>
  <si>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</si>
  <si>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</si>
  <si>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</si>
  <si>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</si>
  <si>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</si>
  <si>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</si>
  <si>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</si>
  <si>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</si>
  <si>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</si>
  <si>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</si>
  <si>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</si>
  <si>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</si>
  <si>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</si>
  <si>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</si>
  <si>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</si>
  <si>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</si>
  <si>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</si>
  <si>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</si>
  <si>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</si>
  <si>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</si>
  <si>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</si>
  <si>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</si>
  <si>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</si>
  <si>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</si>
  <si>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</si>
  <si>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</si>
  <si>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</si>
  <si>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</si>
  <si>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</si>
  <si>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</si>
  <si>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</si>
  <si>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</si>
  <si>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</si>
  <si>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</si>
  <si>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</si>
  <si>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</si>
  <si>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</si>
  <si>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</si>
  <si>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</si>
  <si>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</si>
  <si>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</si>
  <si>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</si>
  <si>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</si>
  <si>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</si>
  <si>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</si>
  <si>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</si>
  <si>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</si>
  <si>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</si>
  <si>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</si>
  <si>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</si>
  <si>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</si>
  <si>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</si>
  <si>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</si>
  <si>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</si>
  <si>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</si>
  <si>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</si>
  <si>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</si>
  <si>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</si>
  <si>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</si>
  <si>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</si>
  <si>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</si>
  <si>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</si>
  <si>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</si>
  <si>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</si>
  <si>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</si>
  <si>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</si>
  <si>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</si>
  <si>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</si>
  <si>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</si>
  <si>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</si>
  <si>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</si>
  <si>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</si>
  <si>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</si>
  <si>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</si>
  <si>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</si>
  <si>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</si>
  <si>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</si>
  <si>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</si>
  <si>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</si>
  <si>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</si>
  <si>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</si>
  <si>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</si>
  <si>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</si>
  <si>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</si>
  <si>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</si>
  <si>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</si>
  <si>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</si>
  <si>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</si>
  <si>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</si>
  <si>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</si>
  <si>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</si>
  <si>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</si>
  <si>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</si>
  <si>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</si>
  <si>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</si>
  <si>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</si>
  <si>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</si>
  <si>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</si>
  <si>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</si>
  <si>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</si>
  <si>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</si>
  <si>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</si>
  <si>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</si>
  <si>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</si>
  <si>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</si>
  <si>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</si>
  <si>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</si>
  <si>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</si>
  <si>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</si>
  <si>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</si>
  <si>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</si>
  <si>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</si>
  <si>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</si>
  <si>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</si>
  <si>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</si>
  <si>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</si>
  <si>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</si>
  <si>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</si>
  <si>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</si>
  <si>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</si>
  <si>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</si>
  <si>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</si>
  <si>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</si>
  <si>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</si>
  <si>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</si>
  <si>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</si>
  <si>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</si>
  <si>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</si>
  <si>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</si>
  <si>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</si>
  <si>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</si>
  <si>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</si>
  <si>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</si>
  <si>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</si>
  <si>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</si>
  <si>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</si>
  <si>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</si>
  <si>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</si>
  <si>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</si>
  <si>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</si>
  <si>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</si>
  <si>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</si>
  <si>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</si>
  <si>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</si>
  <si>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</si>
  <si>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</si>
  <si>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</si>
  <si>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</si>
  <si>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</si>
  <si>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</si>
  <si>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</si>
  <si>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</si>
  <si>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</si>
  <si>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</si>
  <si>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</si>
  <si>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</si>
  <si>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</si>
  <si>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</si>
  <si>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</si>
  <si>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</si>
  <si>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</si>
  <si>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</si>
  <si>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</si>
  <si>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</si>
  <si>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</si>
  <si>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</si>
  <si>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</si>
  <si>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</si>
  <si>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</si>
  <si>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</si>
  <si>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</si>
  <si>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</si>
  <si>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</si>
  <si>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</si>
  <si>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</si>
  <si>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</si>
  <si>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</si>
  <si>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</si>
  <si>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</si>
  <si>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</si>
  <si>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</si>
  <si>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</si>
  <si>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</si>
  <si>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</si>
  <si>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</si>
  <si>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</si>
  <si>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</si>
  <si>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</si>
  <si>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</si>
  <si>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</si>
  <si>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</si>
  <si>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</si>
  <si>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</si>
  <si>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</si>
  <si>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</si>
  <si>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</si>
  <si>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</si>
  <si>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</si>
  <si>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</si>
  <si>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</si>
  <si>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</si>
  <si>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</si>
  <si>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</si>
  <si>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</si>
  <si>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</si>
  <si>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</si>
  <si>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</si>
  <si>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</si>
  <si>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</si>
  <si>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</si>
  <si>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</si>
  <si>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</si>
  <si>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</si>
  <si>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</si>
  <si>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</si>
  <si>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</si>
  <si>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</si>
  <si>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</si>
  <si>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</si>
  <si>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</si>
  <si>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</si>
  <si>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</si>
  <si>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</si>
  <si>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</si>
  <si>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</si>
  <si>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</si>
  <si>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</si>
  <si>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</si>
  <si>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</si>
  <si>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</si>
  <si>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</si>
  <si>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</si>
  <si>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</si>
  <si>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</si>
  <si>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</si>
  <si>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</si>
  <si>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</si>
  <si>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</si>
  <si>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</si>
  <si>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</si>
  <si>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</si>
  <si>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</si>
  <si>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</si>
  <si>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</si>
  <si>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</si>
  <si>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</si>
  <si>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</si>
  <si>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</si>
  <si>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</si>
  <si>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</si>
  <si>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</si>
  <si>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</si>
  <si>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</si>
  <si>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</si>
  <si>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</si>
  <si>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</si>
  <si>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</si>
  <si>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</si>
  <si>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</si>
  <si>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</si>
  <si>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</si>
  <si>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</si>
  <si>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</si>
  <si>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</si>
  <si>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</si>
  <si>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</si>
  <si>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</si>
  <si>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</si>
  <si>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</si>
  <si>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</si>
  <si>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</si>
  <si>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</si>
  <si>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</si>
  <si>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</si>
  <si>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</si>
  <si>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</si>
  <si>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</si>
  <si>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</si>
  <si>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</si>
  <si>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</si>
  <si>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</si>
  <si>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</si>
  <si>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</si>
  <si>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</si>
  <si>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</si>
  <si>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</si>
  <si>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</si>
  <si>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</si>
  <si>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</si>
  <si>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</si>
  <si>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</si>
  <si>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</si>
  <si>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</si>
  <si>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</si>
  <si>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</si>
  <si>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</si>
  <si>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</si>
  <si>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</si>
  <si>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</si>
  <si>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</si>
  <si>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</si>
  <si>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</si>
  <si>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</si>
  <si>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</si>
  <si>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</si>
  <si>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</si>
  <si>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</si>
  <si>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</si>
  <si>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</si>
  <si>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</si>
  <si>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</si>
  <si>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</si>
  <si>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</si>
  <si>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</si>
  <si>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</si>
  <si>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</si>
  <si>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</si>
  <si>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</si>
  <si>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</si>
  <si>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</si>
  <si>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</si>
  <si>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</si>
  <si>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</si>
  <si>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</si>
  <si>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</si>
  <si>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</si>
  <si>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</si>
  <si>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</si>
  <si>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</si>
  <si>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</si>
  <si>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</si>
  <si>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</si>
  <si>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</si>
  <si>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</si>
  <si>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</si>
  <si>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</si>
  <si>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</si>
  <si>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</si>
  <si>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</si>
  <si>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</si>
  <si>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</si>
  <si>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</si>
  <si>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</si>
  <si>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</si>
  <si>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</si>
  <si>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</si>
  <si>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</si>
  <si>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</si>
  <si>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</si>
  <si>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</si>
  <si>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</si>
  <si>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</si>
  <si>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</si>
  <si>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</si>
  <si>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</si>
  <si>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</si>
  <si>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</si>
  <si>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</si>
  <si>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</si>
  <si>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</si>
  <si>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</si>
  <si>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</si>
  <si>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</si>
  <si>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</si>
  <si>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</si>
  <si>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</si>
  <si>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</si>
  <si>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</si>
  <si>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</si>
  <si>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</si>
  <si>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</si>
  <si>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</si>
  <si>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</si>
  <si>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</si>
  <si>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</si>
  <si>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</si>
  <si>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</si>
  <si>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</si>
  <si>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</si>
  <si>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</si>
  <si>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</si>
  <si>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</si>
  <si>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</si>
  <si>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</si>
  <si>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</si>
  <si>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</si>
  <si>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</si>
  <si>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</si>
  <si>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</si>
  <si>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</si>
  <si>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</si>
  <si>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</si>
  <si>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</si>
  <si>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</si>
  <si>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</si>
  <si>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</si>
  <si>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</si>
  <si>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</si>
  <si>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</si>
  <si>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</si>
  <si>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</si>
  <si>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</si>
  <si>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</si>
  <si>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</si>
  <si>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</si>
  <si>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</si>
  <si>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</si>
  <si>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</si>
  <si>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</si>
  <si>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</si>
  <si>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</si>
  <si>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</si>
  <si>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</si>
  <si>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</si>
  <si>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</si>
  <si>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</si>
  <si>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</si>
  <si>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</si>
  <si>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</si>
  <si>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</si>
  <si>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</si>
  <si>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</si>
  <si>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</si>
  <si>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</si>
  <si>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</si>
  <si>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</si>
  <si>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</si>
  <si>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</si>
  <si>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</si>
  <si>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</si>
  <si>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</si>
  <si>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</si>
  <si>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</si>
  <si>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</si>
  <si>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</si>
  <si>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</si>
  <si>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</si>
  <si>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</si>
  <si>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</si>
  <si>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</si>
  <si>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</si>
  <si>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</si>
  <si>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</si>
  <si>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</si>
  <si>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</si>
  <si>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</si>
  <si>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</si>
  <si>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</si>
  <si>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</si>
  <si>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</si>
  <si>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</si>
  <si>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</si>
  <si>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</si>
  <si>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</si>
  <si>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</si>
  <si>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</si>
  <si>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</si>
  <si>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</si>
  <si>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</si>
  <si>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</si>
  <si>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</si>
  <si>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</si>
  <si>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</si>
  <si>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</si>
  <si>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</si>
  <si>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</si>
  <si>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</si>
  <si>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</si>
  <si>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</si>
  <si>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</si>
  <si>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</si>
  <si>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</si>
  <si>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</si>
  <si>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</si>
  <si>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</si>
  <si>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</si>
  <si>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</si>
  <si>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</si>
  <si>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</si>
  <si>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</si>
  <si>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</si>
  <si>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</si>
  <si>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</si>
  <si>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</si>
  <si>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</si>
  <si>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</si>
  <si>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</si>
  <si>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</si>
  <si>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</si>
  <si>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</si>
  <si>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</si>
  <si>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</si>
  <si>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</si>
  <si>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</si>
  <si>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</si>
  <si>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</si>
  <si>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</si>
  <si>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</si>
  <si>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</si>
  <si>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</si>
  <si>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</si>
  <si>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</si>
  <si>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</si>
  <si>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</si>
  <si>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</si>
  <si>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</si>
  <si>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</si>
  <si>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</si>
  <si>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</si>
  <si>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</si>
  <si>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</si>
  <si>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</si>
  <si>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</si>
  <si>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</si>
  <si>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</si>
  <si>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</si>
  <si>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</si>
  <si>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</si>
  <si>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</si>
  <si>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</si>
  <si>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</si>
  <si>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</si>
  <si>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</si>
  <si>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</si>
  <si>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</si>
  <si>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</si>
  <si>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</si>
  <si>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</si>
  <si>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</si>
  <si>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</si>
  <si>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</si>
  <si>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</si>
  <si>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</si>
  <si>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</si>
  <si>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</si>
  <si>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</si>
  <si>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</si>
  <si>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</si>
  <si>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</si>
  <si>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</si>
  <si>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</si>
  <si>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</si>
  <si>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</si>
  <si>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</si>
  <si>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</si>
  <si>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</si>
  <si>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</si>
  <si>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</si>
  <si>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</si>
  <si>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</si>
  <si>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</si>
  <si>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</si>
  <si>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</si>
  <si>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</si>
  <si>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</si>
  <si>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</si>
  <si>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</si>
  <si>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</si>
  <si>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</si>
  <si>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</si>
  <si>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</si>
  <si>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</si>
  <si>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</si>
  <si>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</si>
  <si>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</si>
  <si>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</si>
  <si>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</si>
  <si>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</si>
  <si>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</si>
  <si>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</si>
  <si>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</si>
  <si>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</si>
  <si>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</si>
  <si>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</si>
  <si>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</si>
  <si>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</si>
  <si>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</si>
  <si>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</si>
  <si>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</si>
  <si>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</si>
  <si>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</si>
  <si>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</si>
  <si>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</si>
  <si>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</si>
  <si>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</si>
  <si>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</si>
  <si>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</si>
  <si>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</si>
  <si>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</si>
  <si>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</si>
  <si>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</si>
  <si>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</si>
  <si>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</si>
  <si>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</si>
  <si>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</si>
  <si>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</si>
  <si>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</si>
  <si>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</si>
  <si>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</si>
  <si>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</si>
  <si>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</si>
  <si>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</si>
  <si>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</si>
  <si>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</si>
  <si>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</si>
  <si>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</si>
  <si>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</si>
  <si>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</si>
  <si>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</si>
  <si>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</si>
  <si>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</si>
  <si>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</si>
  <si>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</si>
  <si>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</si>
  <si>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</si>
  <si>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</si>
  <si>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</si>
  <si>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</si>
  <si>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</si>
  <si>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</si>
  <si>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</si>
  <si>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</si>
  <si>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</si>
  <si>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</si>
  <si>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</si>
  <si>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</si>
  <si>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</si>
  <si>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</si>
  <si>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</si>
  <si>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</si>
  <si>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</si>
  <si>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</si>
  <si>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</si>
  <si>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</si>
  <si>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</si>
  <si>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</si>
  <si>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</si>
  <si>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</si>
  <si>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</si>
  <si>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</si>
  <si>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</si>
  <si>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</si>
  <si>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</si>
  <si>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</si>
  <si>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</si>
  <si>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</si>
  <si>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</si>
  <si>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</si>
  <si>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</si>
  <si>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</si>
  <si>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</si>
  <si>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</si>
  <si>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</si>
  <si>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</si>
  <si>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</si>
  <si>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</si>
  <si>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</si>
  <si>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</si>
  <si>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</si>
  <si>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</si>
  <si>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</si>
  <si>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</si>
  <si>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</si>
  <si>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</si>
  <si>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</si>
  <si>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</si>
  <si>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</si>
  <si>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</si>
  <si>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</si>
  <si>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</si>
  <si>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</si>
  <si>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</si>
  <si>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</si>
  <si>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</si>
  <si>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</si>
  <si>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</si>
  <si>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</si>
  <si>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</si>
  <si>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</si>
  <si>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</si>
  <si>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</si>
  <si>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</si>
  <si>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</si>
  <si>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</si>
  <si>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</si>
  <si>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</si>
  <si>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</si>
  <si>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</si>
  <si>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</si>
  <si>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</si>
  <si>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</si>
  <si>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</si>
  <si>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</si>
  <si>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</si>
  <si>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</si>
  <si>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</si>
  <si>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</si>
  <si>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</si>
  <si>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</si>
  <si>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</si>
  <si>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</si>
  <si>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</si>
  <si>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</si>
  <si>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</si>
  <si>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</si>
  <si>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</si>
  <si>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</si>
  <si>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</si>
  <si>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</si>
  <si>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</si>
  <si>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</si>
  <si>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</si>
  <si>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</si>
  <si>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</si>
  <si>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</si>
  <si>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</si>
  <si>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</si>
  <si>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</si>
  <si>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</si>
  <si>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</si>
  <si>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</si>
  <si>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</si>
  <si>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</si>
  <si>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</si>
  <si>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</si>
  <si>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</si>
  <si>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</si>
  <si>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</si>
  <si>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</si>
  <si>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</si>
  <si>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</si>
  <si>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</si>
  <si>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</si>
  <si>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</si>
  <si>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</si>
  <si>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</si>
  <si>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</si>
  <si>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</si>
  <si>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</si>
  <si>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</si>
  <si>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</si>
  <si>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</si>
  <si>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</si>
  <si>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</si>
  <si>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</si>
  <si>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</si>
  <si>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</si>
  <si>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</si>
  <si>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</si>
  <si>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</si>
  <si>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</si>
  <si>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</si>
  <si>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</si>
  <si>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</si>
  <si>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</si>
  <si>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</si>
  <si>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</si>
  <si>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</si>
  <si>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</si>
  <si>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</si>
  <si>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</si>
  <si>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</si>
  <si>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</si>
  <si>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</si>
  <si>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</si>
  <si>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</si>
  <si>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</si>
  <si>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</si>
  <si>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</si>
  <si>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</si>
  <si>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</si>
  <si>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</si>
  <si>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</si>
  <si>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</si>
  <si>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</si>
  <si>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</si>
  <si>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</si>
  <si>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</si>
  <si>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</si>
  <si>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</si>
  <si>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</si>
  <si>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</si>
  <si>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</si>
  <si>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</si>
  <si>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</si>
  <si>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</si>
  <si>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</si>
  <si>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</si>
  <si>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</si>
  <si>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</si>
  <si>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</si>
  <si>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</si>
  <si>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</si>
  <si>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</si>
  <si>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</si>
  <si>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</si>
  <si>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</si>
  <si>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</si>
  <si>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</si>
  <si>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</si>
  <si>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</si>
  <si>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</si>
  <si>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</si>
  <si>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</si>
  <si>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</si>
  <si>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</si>
  <si>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</si>
  <si>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</si>
  <si>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</si>
  <si>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</si>
  <si>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</si>
  <si>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</si>
  <si>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</si>
  <si>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</si>
  <si>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</si>
  <si>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</si>
  <si>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</si>
  <si>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</si>
  <si>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</si>
  <si>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</si>
  <si>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</si>
  <si>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</si>
  <si>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</si>
  <si>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</si>
  <si>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</si>
  <si>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</si>
  <si>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</si>
  <si>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</si>
  <si>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</si>
  <si>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</si>
  <si>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</si>
  <si>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</si>
  <si>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</si>
  <si>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</si>
  <si>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</si>
  <si>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</si>
  <si>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</si>
  <si>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</si>
  <si>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</si>
  <si>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</si>
  <si>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</si>
  <si>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</si>
  <si>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</si>
  <si>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</si>
  <si>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</si>
  <si>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</si>
  <si>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</si>
  <si>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</si>
  <si>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</si>
  <si>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</si>
  <si>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</si>
  <si>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</si>
  <si>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</si>
  <si>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</si>
  <si>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</si>
  <si>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</si>
  <si>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</si>
  <si>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</si>
  <si>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</si>
  <si>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</si>
  <si>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</si>
  <si>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</si>
  <si>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</si>
  <si>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</si>
  <si>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</si>
  <si>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</si>
  <si>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</si>
  <si>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</si>
  <si>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</si>
  <si>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</si>
  <si>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</si>
  <si>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</si>
  <si>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</si>
  <si>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</si>
  <si>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</si>
  <si>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</si>
  <si>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</si>
  <si>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</si>
  <si>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</si>
  <si>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</si>
  <si>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</si>
  <si>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</si>
  <si>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</si>
  <si>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</si>
  <si>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</si>
  <si>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</si>
  <si>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</si>
  <si>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</si>
  <si>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</si>
  <si>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</si>
  <si>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</si>
  <si>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</si>
  <si>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</si>
  <si>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</si>
  <si>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</si>
  <si>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</si>
  <si>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</si>
  <si>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</si>
  <si>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</si>
  <si>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</si>
  <si>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</si>
  <si>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</si>
  <si>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</si>
  <si>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</si>
  <si>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</si>
  <si>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</si>
  <si>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</si>
  <si>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</si>
  <si>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</si>
  <si>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</si>
  <si>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</si>
  <si>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</si>
  <si>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</si>
  <si>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</si>
  <si>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</si>
  <si>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</si>
  <si>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</si>
  <si>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</si>
  <si>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</si>
  <si>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</si>
  <si>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</si>
  <si>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</si>
  <si>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</si>
  <si>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</si>
  <si>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</si>
  <si>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</si>
  <si>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</si>
  <si>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</si>
  <si>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</si>
  <si>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</si>
  <si>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</si>
  <si>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</si>
  <si>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</si>
  <si>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</si>
  <si>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</si>
  <si>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</si>
  <si>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</si>
  <si>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</si>
  <si>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</si>
  <si>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</si>
  <si>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</si>
  <si>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</si>
  <si>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</si>
  <si>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</si>
  <si>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</si>
  <si>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</si>
  <si>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</si>
  <si>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</si>
  <si>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</si>
  <si>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</si>
  <si>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</si>
  <si>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</si>
  <si>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</si>
  <si>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</si>
  <si>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</si>
  <si>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</si>
  <si>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</si>
  <si>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</si>
  <si>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</si>
  <si>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</si>
  <si>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</si>
  <si>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</si>
  <si>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</si>
  <si>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</si>
  <si>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</si>
  <si>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</si>
  <si>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</si>
  <si>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</si>
  <si>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</si>
  <si>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</si>
  <si>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</si>
  <si>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</si>
  <si>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</si>
  <si>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</si>
  <si>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</si>
  <si>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</si>
  <si>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</si>
  <si>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</si>
  <si>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</si>
  <si>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</si>
  <si>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</si>
  <si>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</si>
  <si>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</si>
  <si>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</si>
  <si>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</si>
  <si>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</si>
  <si>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</si>
  <si>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</si>
  <si>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</si>
  <si>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</si>
  <si>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</si>
  <si>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</si>
  <si>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</si>
  <si>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</si>
  <si>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</si>
  <si>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</si>
  <si>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</si>
  <si>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</si>
  <si>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</si>
  <si>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</si>
  <si>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</si>
  <si>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</si>
  <si>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</si>
  <si>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</si>
  <si>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</si>
  <si>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</si>
  <si>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</si>
  <si>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</si>
  <si>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</si>
  <si>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</si>
  <si>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</si>
  <si>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</si>
  <si>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</si>
  <si>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</si>
  <si>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</si>
  <si>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</si>
  <si>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</si>
  <si>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</si>
  <si>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</si>
  <si>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</si>
  <si>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</si>
  <si>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</si>
  <si>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</si>
  <si>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</si>
  <si>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</si>
  <si>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</si>
  <si>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</si>
  <si>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</si>
  <si>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</si>
  <si>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</si>
  <si>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</si>
  <si>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</si>
  <si>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</si>
  <si>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</si>
  <si>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</si>
  <si>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</si>
  <si>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</si>
  <si>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</si>
  <si>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</si>
  <si>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</si>
  <si>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</si>
  <si>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</si>
  <si>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</si>
  <si>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</si>
  <si>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</si>
  <si>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</si>
  <si>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</si>
  <si>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</si>
  <si>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</si>
  <si>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</si>
  <si>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</si>
  <si>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</si>
  <si>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</si>
  <si>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</si>
  <si>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</si>
  <si>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</si>
  <si>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</si>
  <si>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</si>
  <si>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</si>
  <si>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</si>
  <si>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</si>
  <si>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</si>
  <si>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</si>
  <si>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</si>
  <si>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</si>
  <si>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</si>
  <si>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</si>
  <si>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</si>
  <si>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</si>
  <si>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</si>
  <si>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</si>
  <si>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</si>
  <si>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</si>
  <si>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</si>
  <si>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</si>
  <si>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</si>
  <si>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</si>
  <si>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</si>
  <si>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</si>
  <si>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</si>
  <si>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</si>
  <si>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</si>
  <si>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</si>
  <si>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</si>
  <si>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</si>
  <si>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</si>
  <si>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</si>
  <si>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</si>
  <si>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</si>
  <si>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</si>
  <si>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</si>
  <si>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</si>
  <si>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</si>
  <si>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</si>
  <si>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</si>
  <si>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</si>
  <si>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</si>
  <si>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</si>
  <si>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</si>
  <si>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</si>
  <si>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</si>
  <si>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</si>
  <si>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</si>
  <si>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</si>
  <si>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</si>
  <si>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</si>
  <si>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</si>
  <si>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</si>
  <si>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</si>
  <si>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</si>
  <si>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</si>
  <si>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</si>
  <si>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</si>
  <si>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</si>
  <si>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</si>
  <si>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</si>
  <si>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</si>
  <si>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</si>
  <si>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</si>
  <si>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</si>
  <si>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</si>
  <si>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</si>
  <si>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</si>
  <si>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</si>
  <si>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</si>
  <si>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</si>
  <si>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</si>
  <si>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</si>
  <si>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</si>
  <si>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</si>
  <si>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</si>
  <si>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</si>
  <si>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</si>
  <si>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</si>
  <si>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</si>
  <si>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</si>
  <si>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</si>
  <si>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</si>
  <si>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</si>
  <si>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</si>
  <si>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</si>
  <si>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</si>
  <si>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</si>
  <si>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</si>
  <si>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</si>
  <si>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</si>
  <si>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</si>
  <si>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</si>
  <si>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</si>
  <si>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</si>
  <si>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</si>
  <si>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</si>
  <si>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</si>
  <si>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</si>
  <si>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</si>
  <si>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</si>
  <si>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</si>
  <si>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</si>
  <si>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</si>
  <si>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</si>
  <si>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</si>
  <si>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</si>
  <si>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</si>
  <si>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</si>
  <si>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</si>
  <si>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</si>
  <si>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</si>
  <si>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</si>
  <si>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</si>
  <si>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</si>
  <si>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</si>
  <si>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</si>
  <si>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</si>
  <si>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</si>
  <si>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</si>
  <si>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</si>
  <si>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</si>
  <si>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</si>
  <si>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</si>
  <si>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</si>
  <si>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</si>
  <si>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</si>
  <si>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</si>
  <si>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</si>
  <si>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</si>
  <si>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</si>
  <si>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</si>
  <si>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</si>
  <si>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</si>
  <si>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</si>
  <si>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</si>
  <si>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</si>
  <si>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</si>
  <si>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</si>
  <si>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</si>
  <si>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</si>
  <si>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</si>
  <si>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</si>
  <si>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</si>
  <si>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</si>
  <si>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</si>
  <si>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</si>
  <si>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</si>
  <si>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</si>
  <si>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</si>
  <si>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</si>
  <si>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</si>
  <si>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</si>
  <si>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</si>
  <si>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</si>
  <si>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</si>
  <si>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</si>
  <si>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</si>
  <si>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</si>
  <si>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</si>
  <si>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</si>
  <si>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</si>
  <si>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</si>
  <si>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</si>
  <si>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</si>
  <si>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</si>
  <si>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</si>
  <si>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</si>
  <si>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</si>
  <si>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</si>
  <si>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</si>
  <si>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</si>
  <si>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</si>
  <si>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</si>
  <si>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</si>
  <si>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</si>
  <si>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</si>
  <si>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</si>
  <si>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</si>
  <si>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</si>
  <si>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</si>
  <si>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</si>
  <si>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</si>
  <si>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</si>
  <si>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</si>
  <si>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</si>
  <si>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</si>
  <si>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</si>
  <si>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</si>
  <si>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</si>
  <si>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</si>
  <si>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</si>
  <si>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</si>
  <si>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</si>
  <si>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</si>
  <si>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</si>
  <si>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</si>
  <si>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</si>
  <si>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</si>
  <si>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</si>
  <si>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</si>
  <si>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</si>
  <si>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</si>
  <si>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</si>
  <si>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</si>
  <si>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</si>
  <si>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</si>
  <si>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</si>
  <si>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</si>
  <si>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</si>
  <si>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</si>
  <si>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</si>
  <si>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</si>
  <si>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</si>
  <si>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</si>
  <si>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</si>
  <si>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</si>
  <si>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</si>
  <si>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</si>
  <si>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</si>
  <si>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</si>
  <si>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</si>
  <si>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</si>
  <si>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</si>
  <si>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</si>
  <si>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</si>
  <si>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</si>
  <si>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</si>
  <si>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</si>
  <si>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</si>
  <si>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</si>
  <si>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</si>
  <si>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</si>
  <si>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</si>
  <si>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</si>
  <si>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</si>
  <si>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</si>
  <si>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</si>
  <si>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</si>
  <si>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</si>
  <si>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</si>
  <si>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</si>
  <si>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</si>
  <si>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</si>
  <si>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</si>
  <si>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</si>
  <si>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</si>
  <si>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</si>
  <si>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</si>
  <si>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</si>
  <si>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</si>
  <si>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</si>
  <si>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</si>
  <si>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</si>
  <si>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</si>
  <si>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</si>
  <si>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</si>
  <si>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</si>
  <si>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</si>
  <si>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</si>
  <si>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</si>
  <si>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</si>
  <si>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</si>
  <si>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</si>
  <si>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</si>
  <si>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</si>
  <si>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</si>
  <si>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</si>
  <si>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</si>
  <si>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</si>
  <si>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</si>
  <si>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</si>
  <si>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</si>
  <si>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</si>
  <si>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</si>
  <si>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</si>
  <si>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</si>
  <si>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</si>
  <si>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</si>
  <si>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</si>
  <si>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</si>
  <si>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</si>
  <si>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</si>
  <si>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</si>
  <si>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</si>
  <si>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</si>
  <si>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</si>
  <si>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</si>
  <si>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</si>
  <si>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</si>
  <si>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</si>
  <si>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</si>
  <si>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</si>
  <si>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</si>
  <si>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</si>
  <si>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</si>
  <si>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</si>
  <si>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</si>
  <si>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</si>
  <si>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</si>
  <si>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</si>
  <si>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</si>
  <si>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</si>
  <si>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</si>
  <si>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</si>
  <si>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</si>
  <si>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</si>
  <si>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</si>
  <si>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</si>
  <si>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</si>
  <si>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</si>
  <si>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</si>
  <si>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</si>
  <si>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</si>
  <si>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</si>
  <si>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</si>
  <si>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</si>
  <si>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</si>
  <si>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</si>
  <si>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</si>
  <si>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</si>
  <si>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</si>
  <si>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</si>
  <si>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</si>
  <si>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</si>
  <si>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</si>
  <si>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</si>
  <si>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</si>
  <si>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</si>
  <si>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</si>
  <si>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</si>
  <si>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</si>
  <si>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</si>
  <si>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</si>
  <si>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</si>
  <si>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</si>
  <si>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</si>
  <si>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</si>
  <si>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</si>
  <si>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</si>
  <si>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</si>
  <si>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</si>
  <si>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</si>
  <si>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</si>
  <si>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</si>
  <si>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</si>
  <si>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</si>
  <si>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</si>
  <si>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</si>
  <si>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</si>
  <si>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</si>
  <si>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</si>
  <si>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</si>
  <si>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</si>
  <si>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</si>
  <si>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</si>
  <si>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</si>
  <si>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</si>
  <si>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</si>
  <si>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</si>
  <si>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</si>
  <si>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</si>
  <si>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</si>
  <si>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</si>
  <si>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</si>
  <si>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</si>
  <si>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</si>
  <si>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</si>
  <si>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</si>
  <si>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</si>
  <si>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</si>
  <si>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</si>
  <si>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</si>
  <si>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</si>
  <si>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</si>
  <si>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</si>
  <si>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</si>
  <si>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</si>
  <si>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</si>
  <si>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</si>
  <si>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</si>
  <si>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</si>
  <si>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</si>
  <si>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</si>
  <si>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</si>
  <si>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</si>
  <si>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</si>
  <si>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</si>
  <si>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</si>
  <si>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</si>
  <si>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</si>
  <si>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</si>
  <si>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</si>
  <si>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</si>
  <si>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</si>
  <si>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</si>
  <si>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</si>
  <si>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</si>
  <si>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</si>
  <si>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</si>
  <si>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</si>
  <si>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</si>
  <si>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</si>
  <si>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</si>
  <si>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</si>
  <si>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</si>
  <si>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</si>
  <si>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</si>
  <si>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</si>
  <si>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</si>
  <si>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</si>
  <si>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</si>
  <si>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</si>
  <si>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</si>
  <si>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</si>
  <si>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</si>
  <si>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</si>
  <si>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</si>
  <si>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</si>
  <si>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</si>
  <si>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</si>
  <si>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</si>
  <si>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</si>
  <si>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</si>
  <si>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</si>
  <si>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</si>
  <si>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</si>
  <si>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</si>
  <si>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</si>
  <si>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</si>
  <si>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</si>
  <si>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</si>
  <si>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</si>
  <si>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</si>
  <si>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</si>
  <si>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</si>
  <si>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</si>
  <si>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</si>
  <si>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</si>
  <si>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</si>
  <si>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</si>
  <si>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</si>
  <si>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</si>
  <si>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</si>
  <si>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</si>
  <si>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</si>
  <si>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</si>
  <si>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</si>
  <si>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</si>
  <si>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</si>
  <si>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</si>
  <si>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</si>
  <si>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</si>
  <si>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</si>
  <si>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</si>
  <si>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</si>
  <si>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</si>
  <si>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</si>
  <si>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</si>
  <si>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</si>
  <si>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</si>
  <si>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</si>
  <si>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</si>
  <si>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</si>
  <si>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</si>
  <si>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</si>
  <si>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</si>
  <si>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</si>
  <si>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</si>
  <si>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</si>
  <si>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</si>
  <si>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</si>
  <si>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</si>
  <si>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</si>
  <si>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</si>
  <si>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</si>
  <si>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</si>
  <si>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</si>
  <si>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</si>
  <si>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</si>
  <si>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</si>
  <si>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</si>
  <si>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</si>
  <si>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</si>
  <si>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</si>
  <si>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</si>
  <si>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</si>
  <si>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</si>
  <si>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</si>
  <si>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</si>
  <si>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</si>
  <si>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</si>
  <si>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</si>
  <si>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</si>
  <si>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</si>
  <si>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</si>
  <si>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</si>
  <si>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</si>
  <si>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</si>
  <si>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</si>
  <si>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</si>
  <si>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</si>
  <si>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</si>
  <si>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</si>
  <si>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</si>
  <si>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</si>
  <si>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</si>
  <si>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</si>
  <si>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</si>
  <si>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</si>
  <si>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</si>
  <si>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</si>
  <si>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</si>
  <si>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</si>
  <si>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</si>
  <si>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</si>
  <si>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</si>
  <si>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</si>
  <si>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</si>
  <si>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</si>
  <si>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</si>
  <si>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</si>
  <si>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</si>
  <si>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</si>
  <si>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</si>
  <si>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</si>
  <si>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</si>
  <si>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</si>
  <si>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</si>
  <si>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</si>
  <si>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</si>
  <si>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</si>
  <si>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</si>
  <si>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</si>
  <si>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</si>
  <si>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</si>
  <si>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</si>
  <si>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</si>
  <si>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</si>
  <si>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</si>
  <si>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</si>
  <si>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</si>
  <si>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</si>
  <si>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</si>
  <si>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</si>
  <si>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</si>
  <si>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</si>
  <si>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</si>
  <si>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</si>
  <si>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</si>
  <si>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</si>
  <si>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</si>
  <si>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</si>
  <si>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</si>
  <si>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</si>
  <si>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</si>
  <si>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</si>
  <si>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</si>
  <si>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</si>
  <si>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</si>
  <si>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</si>
  <si>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</si>
  <si>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</si>
  <si>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</si>
  <si>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</si>
  <si>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</si>
  <si>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</si>
  <si>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</si>
  <si>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</si>
  <si>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</si>
  <si>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</si>
  <si>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</si>
  <si>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</si>
  <si>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</si>
  <si>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</si>
  <si>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</si>
  <si>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</si>
  <si>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</si>
  <si>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</si>
  <si>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</si>
  <si>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</si>
  <si>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</si>
  <si>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</si>
  <si>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</si>
  <si>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</si>
  <si>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</si>
  <si>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</si>
  <si>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</si>
  <si>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</si>
  <si>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</si>
  <si>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</si>
  <si>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</si>
  <si>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</si>
  <si>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</si>
  <si>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</si>
  <si>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</si>
  <si>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</si>
  <si>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</si>
  <si>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</si>
  <si>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</si>
  <si>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</si>
  <si>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</si>
  <si>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</si>
  <si>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</si>
  <si>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</si>
  <si>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</si>
  <si>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</si>
  <si>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</si>
  <si>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</si>
  <si>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</si>
  <si>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</si>
  <si>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</si>
  <si>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</si>
  <si>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</si>
  <si>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</si>
  <si>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</si>
  <si>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</si>
  <si>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</si>
  <si>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</si>
  <si>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</si>
  <si>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</si>
  <si>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</si>
  <si>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</si>
  <si>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</si>
  <si>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</si>
  <si>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</si>
  <si>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</si>
  <si>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</si>
  <si>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</si>
  <si>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</si>
  <si>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</si>
  <si>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</si>
  <si>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</si>
  <si>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</si>
  <si>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</si>
  <si>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</si>
  <si>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</si>
  <si>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</si>
  <si>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</si>
  <si>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</si>
  <si>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</si>
  <si>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</si>
  <si>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</si>
  <si>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</si>
  <si>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</si>
  <si>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</si>
  <si>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</si>
  <si>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</si>
  <si>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</si>
  <si>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</si>
  <si>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</si>
  <si>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</si>
  <si>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</si>
  <si>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</si>
  <si>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</si>
  <si>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</si>
  <si>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</si>
  <si>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</si>
  <si>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</si>
  <si>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</si>
  <si>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</si>
  <si>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</si>
  <si>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</si>
  <si>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</si>
  <si>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</si>
  <si>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</si>
  <si>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</si>
  <si>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</si>
  <si>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</si>
  <si>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</si>
  <si>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</si>
  <si>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</si>
  <si>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</si>
  <si>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</si>
  <si>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</si>
  <si>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</si>
  <si>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</si>
  <si>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</si>
  <si>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</si>
  <si>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</si>
  <si>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</si>
  <si>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</si>
  <si>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</si>
  <si>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</si>
  <si>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</si>
  <si>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</si>
  <si>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</si>
  <si>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</si>
  <si>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</si>
  <si>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</si>
  <si>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</si>
  <si>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</si>
  <si>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</si>
  <si>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</si>
  <si>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</si>
  <si>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</si>
  <si>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</si>
  <si>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</si>
  <si>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</si>
  <si>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</si>
  <si>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</si>
  <si>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</si>
  <si>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</si>
  <si>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</si>
  <si>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</si>
  <si>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</si>
  <si>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</si>
  <si>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</si>
  <si>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</si>
  <si>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</si>
  <si>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</si>
  <si>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</si>
  <si>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</si>
  <si>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</si>
  <si>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</si>
  <si>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</si>
  <si>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</si>
  <si>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</si>
  <si>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</si>
  <si>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</si>
  <si>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</si>
  <si>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</si>
  <si>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</si>
  <si>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</si>
  <si>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</si>
  <si>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</si>
  <si>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</si>
  <si>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</si>
  <si>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</si>
  <si>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</si>
  <si>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</si>
  <si>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</si>
  <si>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</si>
  <si>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</si>
  <si>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</si>
  <si>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</si>
  <si>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</si>
  <si>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</si>
  <si>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</si>
  <si>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</si>
  <si>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</si>
  <si>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</si>
  <si>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</si>
  <si>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</si>
  <si>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</si>
  <si>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</si>
  <si>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</si>
  <si>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</si>
  <si>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</si>
  <si>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</si>
  <si>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</si>
  <si>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</si>
  <si>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</si>
  <si>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</si>
  <si>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</si>
  <si>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</si>
  <si>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</si>
  <si>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</si>
  <si>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</si>
  <si>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</si>
  <si>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</si>
  <si>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</si>
  <si>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</si>
  <si>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</si>
  <si>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</si>
  <si>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</si>
  <si>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</si>
  <si>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</si>
  <si>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</si>
  <si>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</si>
  <si>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</si>
  <si>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</si>
  <si>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</si>
  <si>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</si>
  <si>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</si>
  <si>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</si>
  <si>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</si>
  <si>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</si>
  <si>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</si>
  <si>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</si>
  <si>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</si>
  <si>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</si>
  <si>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</si>
  <si>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</si>
  <si>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</si>
  <si>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</si>
  <si>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</si>
  <si>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</si>
  <si>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</si>
  <si>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</si>
  <si>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</si>
  <si>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</si>
  <si>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</si>
  <si>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</si>
  <si>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</si>
  <si>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</si>
  <si>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</si>
  <si>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</si>
  <si>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</si>
  <si>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</si>
  <si>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</si>
  <si>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</si>
  <si>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</si>
  <si>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</si>
  <si>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</si>
  <si>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</si>
  <si>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</si>
  <si>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</si>
  <si>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</si>
  <si>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</si>
  <si>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</si>
  <si>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</si>
  <si>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</si>
  <si>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</si>
  <si>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</si>
  <si>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</si>
  <si>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</si>
  <si>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</si>
  <si>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</si>
  <si>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</si>
  <si>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</si>
  <si>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</si>
  <si>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</si>
  <si>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</si>
  <si>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</si>
  <si>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</si>
  <si>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</si>
  <si>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</si>
  <si>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</si>
  <si>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</si>
  <si>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</si>
  <si>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</si>
  <si>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</si>
  <si>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</si>
  <si>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</si>
  <si>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</si>
  <si>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</si>
  <si>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</si>
  <si>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</si>
  <si>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</si>
  <si>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</si>
  <si>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</si>
  <si>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</si>
  <si>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</si>
  <si>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</si>
  <si>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</si>
  <si>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</si>
  <si>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</si>
  <si>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</si>
  <si>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</si>
  <si>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</si>
  <si>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</si>
  <si>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</si>
  <si>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</si>
  <si>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</si>
  <si>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</si>
  <si>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</si>
  <si>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</si>
  <si>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</si>
  <si>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</si>
  <si>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</si>
  <si>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</si>
  <si>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</si>
  <si>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</si>
  <si>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</si>
  <si>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</si>
  <si>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</si>
  <si>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</si>
  <si>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</si>
  <si>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</si>
  <si>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</si>
  <si>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</si>
  <si>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</si>
  <si>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</si>
  <si>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</si>
  <si>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</si>
  <si>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</si>
  <si>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</si>
  <si>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</si>
  <si>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</si>
  <si>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</si>
  <si>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</si>
  <si>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</si>
  <si>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</si>
  <si>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</si>
  <si>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</si>
  <si>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</si>
  <si>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</si>
  <si>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</si>
  <si>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</si>
  <si>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</si>
  <si>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</si>
  <si>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</si>
  <si>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</si>
  <si>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</si>
  <si>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</si>
  <si>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</si>
  <si>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</si>
  <si>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</si>
  <si>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</si>
  <si>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</si>
  <si>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</si>
  <si>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</si>
  <si>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</si>
  <si>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</si>
  <si>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</si>
  <si>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</si>
  <si>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</si>
  <si>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</si>
  <si>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</si>
  <si>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</si>
  <si>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</si>
  <si>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</si>
  <si>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</si>
  <si>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</si>
  <si>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</si>
  <si>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</si>
  <si>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</si>
  <si>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</si>
  <si>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</si>
  <si>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</si>
  <si>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</si>
  <si>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</si>
  <si>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</si>
  <si>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</si>
  <si>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</si>
  <si>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</si>
  <si>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</si>
  <si>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</si>
  <si>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</si>
  <si>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</si>
  <si>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</si>
  <si>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</si>
  <si>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</si>
  <si>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</si>
  <si>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</si>
  <si>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</si>
  <si>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</si>
  <si>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</si>
  <si>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</si>
  <si>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</si>
  <si>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</si>
  <si>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</si>
  <si>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</si>
  <si>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</si>
  <si>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</si>
  <si>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</si>
  <si>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</si>
  <si>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</si>
  <si>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</si>
  <si>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</si>
  <si>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</si>
  <si>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</si>
  <si>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</si>
  <si>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</si>
  <si>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</si>
  <si>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</si>
  <si>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</si>
  <si>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</si>
  <si>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</si>
  <si>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</si>
  <si>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</si>
  <si>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</si>
  <si>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</si>
  <si>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</si>
  <si>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</si>
  <si>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</si>
  <si>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</si>
  <si>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</si>
  <si>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</si>
  <si>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</si>
  <si>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</si>
  <si>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</si>
  <si>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</si>
  <si>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</si>
  <si>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</si>
  <si>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</si>
  <si>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</si>
  <si>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</si>
  <si>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</si>
  <si>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</si>
  <si>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</si>
  <si>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</si>
  <si>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</si>
  <si>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</si>
  <si>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</si>
  <si>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</si>
  <si>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</si>
  <si>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</si>
  <si>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</si>
  <si>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</si>
  <si>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</si>
  <si>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</si>
  <si>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</si>
  <si>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</si>
  <si>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</si>
  <si>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</si>
  <si>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</si>
  <si>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</si>
  <si>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</si>
  <si>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</si>
  <si>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</si>
  <si>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</si>
  <si>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</si>
  <si>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</si>
  <si>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</si>
  <si>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</si>
  <si>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</si>
  <si>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</si>
  <si>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</si>
  <si>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</si>
  <si>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</si>
  <si>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</si>
  <si>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</si>
  <si>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</si>
  <si>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</si>
  <si>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</si>
  <si>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</si>
  <si>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</si>
  <si>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</si>
  <si>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</si>
  <si>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</si>
  <si>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</si>
  <si>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</si>
  <si>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</si>
  <si>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</si>
  <si>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</si>
  <si>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</si>
  <si>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</si>
  <si>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</si>
  <si>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</si>
  <si>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</si>
  <si>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</si>
  <si>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</si>
  <si>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</si>
  <si>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</si>
  <si>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</si>
  <si>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</si>
  <si>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</si>
  <si>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</si>
  <si>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</si>
  <si>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</si>
  <si>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</si>
  <si>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</si>
  <si>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</si>
  <si>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</si>
  <si>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</si>
  <si>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</si>
  <si>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</si>
  <si>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</si>
  <si>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</si>
  <si>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</si>
  <si>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</si>
  <si>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</si>
  <si>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</si>
  <si>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</si>
  <si>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</si>
  <si>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</si>
  <si>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</si>
  <si>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</si>
  <si>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</si>
  <si>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</si>
  <si>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</si>
  <si>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</si>
  <si>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</si>
  <si>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</si>
  <si>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</si>
  <si>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</si>
  <si>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</si>
  <si>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</si>
  <si>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</si>
  <si>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</si>
  <si>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</si>
  <si>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</si>
  <si>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</si>
  <si>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</si>
  <si>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</si>
  <si>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</si>
  <si>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</si>
  <si>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</si>
  <si>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</si>
  <si>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</si>
  <si>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</si>
  <si>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</si>
  <si>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</si>
  <si>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</si>
  <si>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</si>
  <si>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</si>
  <si>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</si>
  <si>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</si>
  <si>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</si>
  <si>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</si>
  <si>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</si>
  <si>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</si>
  <si>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</si>
  <si>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</si>
  <si>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</si>
  <si>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</si>
  <si>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</si>
  <si>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</si>
  <si>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</si>
  <si>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</si>
  <si>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</si>
  <si>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</si>
  <si>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</si>
  <si>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</si>
  <si>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</si>
  <si>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</si>
  <si>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</si>
  <si>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</si>
  <si>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</si>
  <si>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</si>
  <si>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</si>
  <si>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</si>
  <si>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</si>
  <si>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</si>
  <si>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</si>
  <si>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</si>
  <si>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</si>
  <si>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</si>
  <si>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</si>
  <si>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</si>
  <si>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</si>
  <si>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</si>
  <si>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</si>
  <si>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</si>
  <si>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</si>
  <si>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</si>
  <si>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</si>
  <si>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</si>
  <si>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</si>
  <si>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</si>
  <si>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</si>
  <si>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</si>
  <si>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</si>
  <si>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</si>
  <si>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</si>
  <si>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</si>
  <si>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</si>
  <si>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</si>
  <si>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</si>
  <si>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</si>
  <si>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</si>
  <si>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</si>
  <si>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</si>
  <si>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</si>
  <si>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</si>
  <si>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</si>
  <si>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</si>
  <si>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</si>
  <si>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</si>
  <si>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</si>
  <si>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</si>
  <si>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</si>
  <si>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</si>
  <si>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</si>
  <si>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</si>
  <si>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</si>
  <si>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</si>
  <si>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</si>
  <si>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</si>
  <si>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</si>
  <si>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</si>
  <si>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</si>
  <si>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</si>
  <si>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</si>
  <si>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</si>
  <si>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</si>
  <si>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</si>
  <si>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</si>
  <si>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</si>
  <si>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</si>
  <si>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</si>
  <si>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</si>
  <si>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</si>
  <si>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</si>
  <si>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</si>
  <si>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</si>
  <si>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</si>
  <si>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</si>
  <si>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</si>
  <si>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</si>
  <si>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</si>
  <si>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</si>
  <si>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</si>
  <si>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</si>
  <si>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</si>
  <si>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</si>
  <si>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</si>
  <si>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</si>
  <si>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</si>
  <si>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</si>
  <si>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</si>
  <si>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</si>
  <si>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</si>
  <si>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</si>
  <si>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</si>
  <si>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</si>
  <si>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</si>
  <si>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</si>
  <si>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</si>
  <si>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</si>
  <si>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</si>
  <si>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</si>
  <si>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</si>
  <si>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</si>
  <si>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</si>
  <si>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</si>
  <si>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</si>
  <si>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</si>
  <si>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</si>
  <si>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</si>
  <si>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</si>
  <si>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</si>
  <si>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</si>
  <si>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</si>
  <si>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</si>
  <si>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</si>
  <si>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</si>
  <si>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</si>
  <si>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</si>
  <si>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</si>
  <si>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</si>
  <si>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</si>
  <si>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</si>
  <si>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</si>
  <si>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</si>
  <si>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</si>
  <si>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</si>
  <si>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</si>
  <si>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</si>
  <si>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</si>
  <si>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</si>
  <si>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</si>
  <si>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</si>
  <si>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</si>
  <si>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</si>
  <si>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</si>
  <si>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</si>
  <si>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</si>
  <si>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</si>
  <si>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</si>
  <si>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</si>
  <si>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</si>
  <si>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</si>
  <si>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</si>
  <si>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</si>
  <si>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</si>
  <si>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</si>
  <si>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</si>
  <si>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</si>
  <si>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</si>
  <si>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</si>
  <si>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</si>
  <si>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</si>
  <si>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</si>
  <si>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</si>
  <si>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</si>
  <si>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</si>
  <si>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</si>
  <si>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</si>
  <si>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</si>
  <si>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</si>
  <si>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</si>
  <si>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</si>
  <si>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</si>
  <si>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</si>
  <si>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</si>
  <si>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</si>
  <si>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</si>
  <si>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</si>
  <si>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</si>
  <si>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</si>
  <si>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</si>
  <si>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</si>
  <si>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</si>
  <si>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</si>
  <si>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</si>
  <si>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</si>
  <si>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</si>
  <si>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</si>
  <si>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</si>
  <si>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</si>
  <si>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</si>
  <si>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</si>
  <si>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</si>
  <si>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</si>
  <si>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</si>
  <si>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</si>
  <si>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</si>
  <si>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</si>
  <si>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</si>
  <si>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</si>
  <si>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</si>
  <si>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</si>
  <si>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</si>
  <si>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</si>
  <si>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</si>
  <si>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</si>
  <si>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</si>
  <si>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</si>
  <si>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</si>
  <si>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</si>
  <si>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</si>
  <si>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</si>
  <si>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</si>
  <si>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</si>
  <si>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</si>
  <si>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</si>
  <si>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</si>
  <si>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</si>
  <si>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</si>
  <si>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</si>
  <si>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</si>
  <si>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</si>
  <si>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</si>
  <si>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</si>
  <si>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</si>
  <si>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</si>
  <si>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</si>
  <si>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</si>
  <si>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</si>
  <si>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</si>
  <si>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</si>
  <si>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</si>
  <si>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</si>
  <si>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</si>
  <si>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</si>
  <si>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</si>
  <si>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</si>
  <si>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</si>
  <si>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</si>
  <si>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</si>
  <si>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</si>
  <si>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</si>
  <si>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</si>
  <si>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</si>
  <si>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</si>
  <si>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</si>
  <si>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</si>
  <si>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</si>
  <si>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</si>
  <si>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</si>
  <si>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</si>
  <si>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</si>
  <si>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</si>
  <si>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</si>
  <si>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</si>
  <si>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</si>
  <si>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</si>
  <si>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</si>
  <si>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</si>
  <si>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</si>
  <si>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</si>
  <si>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</si>
  <si>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</si>
  <si>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</si>
  <si>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</si>
  <si>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</si>
  <si>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</si>
  <si>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</si>
  <si>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</si>
  <si>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</si>
  <si>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</si>
  <si>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</si>
  <si>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</si>
  <si>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</si>
  <si>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</si>
  <si>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</si>
  <si>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</si>
  <si>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</si>
  <si>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</si>
  <si>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</si>
  <si>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</si>
  <si>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</si>
  <si>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</si>
  <si>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</si>
  <si>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</si>
  <si>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</si>
  <si>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</si>
  <si>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</si>
  <si>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</si>
  <si>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</si>
  <si>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</si>
  <si>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</si>
  <si>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</si>
  <si>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</si>
  <si>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</si>
  <si>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</si>
  <si>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</si>
  <si>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</si>
  <si>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</si>
  <si>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</si>
  <si>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</si>
  <si>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</si>
  <si>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</si>
  <si>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</si>
  <si>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</si>
  <si>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</si>
  <si>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</si>
  <si>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</si>
  <si>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</si>
  <si>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</si>
  <si>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</si>
  <si>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</si>
  <si>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</si>
  <si>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</si>
  <si>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</si>
  <si>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</si>
  <si>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</si>
  <si>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</si>
  <si>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</si>
  <si>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</si>
  <si>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</si>
  <si>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</si>
  <si>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</si>
  <si>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</si>
  <si>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</si>
  <si>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</si>
  <si>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</si>
  <si>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</si>
  <si>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</si>
  <si>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</si>
  <si>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</si>
  <si>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</si>
  <si>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</si>
  <si>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</si>
  <si>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</si>
  <si>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</si>
  <si>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</si>
  <si>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</si>
  <si>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</si>
  <si>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</si>
  <si>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</si>
  <si>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</si>
  <si>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</si>
  <si>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</si>
  <si>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</si>
  <si>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</si>
  <si>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</si>
  <si>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</si>
  <si>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</si>
  <si>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</si>
  <si>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</si>
  <si>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</si>
  <si>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</si>
  <si>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</si>
  <si>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</si>
  <si>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</si>
  <si>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</si>
  <si>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</si>
  <si>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</si>
  <si>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</si>
  <si>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</si>
  <si>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</si>
  <si>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</si>
  <si>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</si>
  <si>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</si>
  <si>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</si>
  <si>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</si>
  <si>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</si>
  <si>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</si>
  <si>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</si>
  <si>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</si>
  <si>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</si>
  <si>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</si>
  <si>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</si>
  <si>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</si>
  <si>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</si>
  <si>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</si>
  <si>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</si>
  <si>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</si>
  <si>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</si>
  <si>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</si>
  <si>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</si>
  <si>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</si>
  <si>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</si>
  <si>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</si>
  <si>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</si>
  <si>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</si>
  <si>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</si>
  <si>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</si>
  <si>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</si>
  <si>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</si>
  <si>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</si>
  <si>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</si>
  <si>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</si>
  <si>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</si>
  <si>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</si>
  <si>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</si>
  <si>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</si>
  <si>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</si>
  <si>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</si>
  <si>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</si>
  <si>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</si>
  <si>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</si>
  <si>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</si>
  <si>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</si>
  <si>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</si>
  <si>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</si>
  <si>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</si>
  <si>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</si>
  <si>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</si>
  <si>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</si>
  <si>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</si>
  <si>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</si>
  <si>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</si>
  <si>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</si>
  <si>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</si>
  <si>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</si>
  <si>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</si>
  <si>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</si>
  <si>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</si>
  <si>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</si>
  <si>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</si>
  <si>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</si>
  <si>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</si>
  <si>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</si>
  <si>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</si>
  <si>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</si>
  <si>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</si>
  <si>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</si>
  <si>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</si>
  <si>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</si>
  <si>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</si>
  <si>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</si>
  <si>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</si>
  <si>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</si>
  <si>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</si>
  <si>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</si>
  <si>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</si>
  <si>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</si>
  <si>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</si>
  <si>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</si>
  <si>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</si>
  <si>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</si>
  <si>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</si>
  <si>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</si>
  <si>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</si>
  <si>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</si>
  <si>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</si>
  <si>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</si>
  <si>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</si>
  <si>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</si>
  <si>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</si>
  <si>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</si>
  <si>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</si>
  <si>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</si>
  <si>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</si>
  <si>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</si>
  <si>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</si>
  <si>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</si>
  <si>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</si>
  <si>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</si>
  <si>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</si>
  <si>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</si>
  <si>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</si>
  <si>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</si>
  <si>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</si>
  <si>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</si>
  <si>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</si>
  <si>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</si>
  <si>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</si>
  <si>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</si>
  <si>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</si>
  <si>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</si>
  <si>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</si>
  <si>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</si>
  <si>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</si>
  <si>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</si>
  <si>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</si>
  <si>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</si>
  <si>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</si>
  <si>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</si>
  <si>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</si>
  <si>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</si>
  <si>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</si>
  <si>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</si>
  <si>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</si>
  <si>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</si>
  <si>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</si>
  <si>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</si>
  <si>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</si>
  <si>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</si>
  <si>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</si>
  <si>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</si>
  <si>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</si>
  <si>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</si>
  <si>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</si>
  <si>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</si>
  <si>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</si>
  <si>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</si>
  <si>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</si>
  <si>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</si>
  <si>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</si>
  <si>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</si>
  <si>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</si>
  <si>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</si>
  <si>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</si>
  <si>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</si>
  <si>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</si>
  <si>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</si>
  <si>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</si>
  <si>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</si>
  <si>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</si>
  <si>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</si>
  <si>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</si>
  <si>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</si>
  <si>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</si>
  <si>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</si>
  <si>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</si>
  <si>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</si>
  <si>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</si>
  <si>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</si>
  <si>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</si>
  <si>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</si>
  <si>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</si>
  <si>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</si>
  <si>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</si>
  <si>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</si>
  <si>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</si>
  <si>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</si>
  <si>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</si>
  <si>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</si>
  <si>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</si>
  <si>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</si>
  <si>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</si>
  <si>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</si>
  <si>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</si>
  <si>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</si>
  <si>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</si>
  <si>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</si>
  <si>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</si>
  <si>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</si>
  <si>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</si>
  <si>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</si>
  <si>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</si>
  <si>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</si>
  <si>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</si>
  <si>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</si>
  <si>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</si>
  <si>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</si>
  <si>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</si>
  <si>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</si>
  <si>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</si>
  <si>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</si>
  <si>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</si>
  <si>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</si>
  <si>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</si>
  <si>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</si>
  <si>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</si>
  <si>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</si>
  <si>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</si>
  <si>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</si>
  <si>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</si>
  <si>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</si>
  <si>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</si>
  <si>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</si>
  <si>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</si>
  <si>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</si>
  <si>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</si>
  <si>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</si>
  <si>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</si>
  <si>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</si>
  <si>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</si>
  <si>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</si>
  <si>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</si>
  <si>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</si>
  <si>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</si>
  <si>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</si>
  <si>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</si>
  <si>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</si>
  <si>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</si>
  <si>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</si>
  <si>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</si>
  <si>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</si>
  <si>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</si>
  <si>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</si>
  <si>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</si>
  <si>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</si>
  <si>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</si>
  <si>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</si>
  <si>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</si>
  <si>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</si>
  <si>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</si>
  <si>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</si>
  <si>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</si>
  <si>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</si>
  <si>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</si>
  <si>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</si>
  <si>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</si>
  <si>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</si>
  <si>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</si>
  <si>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</si>
  <si>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</si>
  <si>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</si>
  <si>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</si>
  <si>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</si>
  <si>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</si>
  <si>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</si>
  <si>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</si>
  <si>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</si>
  <si>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</si>
  <si>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</si>
  <si>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</si>
  <si>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</si>
  <si>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</si>
  <si>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</si>
  <si>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</si>
  <si>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</si>
  <si>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</si>
  <si>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</si>
  <si>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</si>
  <si>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</si>
  <si>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</si>
  <si>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</si>
  <si>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</si>
  <si>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</si>
  <si>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</si>
  <si>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</si>
  <si>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</si>
  <si>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</si>
  <si>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</si>
  <si>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</si>
  <si>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</si>
  <si>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</si>
  <si>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</si>
  <si>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</si>
  <si>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</si>
  <si>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</si>
  <si>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</si>
  <si>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</si>
  <si>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</si>
  <si>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</si>
  <si>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</si>
  <si>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</si>
  <si>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</si>
  <si>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</si>
  <si>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</si>
  <si>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</si>
  <si>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</si>
  <si>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</si>
  <si>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</si>
  <si>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</si>
  <si>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</si>
  <si>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</si>
  <si>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</si>
  <si>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</si>
  <si>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</si>
  <si>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</si>
  <si>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</si>
  <si>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</si>
  <si>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</si>
  <si>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</si>
  <si>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</si>
  <si>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</si>
  <si>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</si>
  <si>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</si>
  <si>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</si>
  <si>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</si>
  <si>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</si>
  <si>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</si>
  <si>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</si>
  <si>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</si>
  <si>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</si>
  <si>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</si>
  <si>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</si>
  <si>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</si>
  <si>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</si>
  <si>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</si>
  <si>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</si>
  <si>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</si>
  <si>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</si>
  <si>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</si>
  <si>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</si>
  <si>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</si>
  <si>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</si>
  <si>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</si>
  <si>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</si>
  <si>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</si>
  <si>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</si>
  <si>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</si>
  <si>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</si>
  <si>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</si>
  <si>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</si>
  <si>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</si>
  <si>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</si>
  <si>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</si>
  <si>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</si>
  <si>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</si>
  <si>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</si>
  <si>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</si>
  <si>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</si>
  <si>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</si>
  <si>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</si>
  <si>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</si>
  <si>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</si>
  <si>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</si>
  <si>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</si>
  <si>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</si>
  <si>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</si>
  <si>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</si>
  <si>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</si>
  <si>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</si>
  <si>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</si>
  <si>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</si>
  <si>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</si>
  <si>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</si>
  <si>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</si>
  <si>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</si>
  <si>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</si>
  <si>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</si>
  <si>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</si>
  <si>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</si>
  <si>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</si>
  <si>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</si>
  <si>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</si>
  <si>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</si>
  <si>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</si>
  <si>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</si>
  <si>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</si>
  <si>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</si>
  <si>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</si>
  <si>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</si>
  <si>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</si>
  <si>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</si>
  <si>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</si>
  <si>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</si>
  <si>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</si>
  <si>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</si>
  <si>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</si>
  <si>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</si>
  <si>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</si>
  <si>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</si>
  <si>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</si>
  <si>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</si>
  <si>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</si>
  <si>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</si>
  <si>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</si>
  <si>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</si>
  <si>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</si>
  <si>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</si>
  <si>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</si>
  <si>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</si>
  <si>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</si>
  <si>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</si>
  <si>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</si>
  <si>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</si>
  <si>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</si>
  <si>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</si>
  <si>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</si>
  <si>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</si>
  <si>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</si>
  <si>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</si>
  <si>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</si>
  <si>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</si>
  <si>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</si>
  <si>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</si>
  <si>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</si>
  <si>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</si>
  <si>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</si>
  <si>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</si>
  <si>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</si>
  <si>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</si>
  <si>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</si>
  <si>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</si>
  <si>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</si>
  <si>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</si>
  <si>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</si>
  <si>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</si>
  <si>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</si>
  <si>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</si>
  <si>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</si>
  <si>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</si>
  <si>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</si>
  <si>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</si>
  <si>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</si>
  <si>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</si>
  <si>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</si>
  <si>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</si>
  <si>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</si>
  <si>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</si>
  <si>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</si>
  <si>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</si>
  <si>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</si>
  <si>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</si>
  <si>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</si>
  <si>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</si>
  <si>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</si>
  <si>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</si>
  <si>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</si>
  <si>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</si>
  <si>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</si>
  <si>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</si>
  <si>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</si>
  <si>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</si>
  <si>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</si>
  <si>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</si>
  <si>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</si>
  <si>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</si>
  <si>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</si>
  <si>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</si>
  <si>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</si>
  <si>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</si>
  <si>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</si>
  <si>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</si>
  <si>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</si>
  <si>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</si>
  <si>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</si>
  <si>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</si>
  <si>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</si>
  <si>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</si>
  <si>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</si>
  <si>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</si>
  <si>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</si>
  <si>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</si>
  <si>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</si>
  <si>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</si>
  <si>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</si>
  <si>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</si>
  <si>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</si>
  <si>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</si>
  <si>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</si>
  <si>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</si>
  <si>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</si>
  <si>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</si>
  <si>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</si>
  <si>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</si>
  <si>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</si>
  <si>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</si>
  <si>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</si>
  <si>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</si>
  <si>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</si>
  <si>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</si>
  <si>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</si>
  <si>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</si>
  <si>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</si>
  <si>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</si>
  <si>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</si>
  <si>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</si>
  <si>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</si>
  <si>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</si>
  <si>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</si>
  <si>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</si>
  <si>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</si>
  <si>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</si>
  <si>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</si>
  <si>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</si>
  <si>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</si>
  <si>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</si>
  <si>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</si>
  <si>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</si>
  <si>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</si>
  <si>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</si>
  <si>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</si>
  <si>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</si>
  <si>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</si>
  <si>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</si>
  <si>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</si>
  <si>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</si>
  <si>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</si>
  <si>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</si>
  <si>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</si>
  <si>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</si>
  <si>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</si>
  <si>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</si>
  <si>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</si>
  <si>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</si>
  <si>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</si>
  <si>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</si>
  <si>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</si>
  <si>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</si>
  <si>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</si>
  <si>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</si>
  <si>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</si>
  <si>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</si>
  <si>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</si>
  <si>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</si>
  <si>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</si>
  <si>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</si>
  <si>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</si>
  <si>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</si>
  <si>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</si>
  <si>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</si>
  <si>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</si>
  <si>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</si>
  <si>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</si>
  <si>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</si>
  <si>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</si>
  <si>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</si>
  <si>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</si>
  <si>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</si>
  <si>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</si>
  <si>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</si>
  <si>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</si>
  <si>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</si>
  <si>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</si>
  <si>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</si>
  <si>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</si>
  <si>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</si>
  <si>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</si>
  <si>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</si>
  <si>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</si>
  <si>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</si>
  <si>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</si>
  <si>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</si>
  <si>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</si>
  <si>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</si>
  <si>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</si>
  <si>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</si>
  <si>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</si>
  <si>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</si>
  <si>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</si>
  <si>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</si>
  <si>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</si>
  <si>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</si>
  <si>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</si>
  <si>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</si>
  <si>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</si>
  <si>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</si>
  <si>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</si>
  <si>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</si>
  <si>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</si>
  <si>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</si>
  <si>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</si>
  <si>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</si>
  <si>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</si>
  <si>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</si>
  <si>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</si>
  <si>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</si>
  <si>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</si>
  <si>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</si>
  <si>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</si>
  <si>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</si>
  <si>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</si>
  <si>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</si>
  <si>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</si>
  <si>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</si>
  <si>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</si>
  <si>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</si>
  <si>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</si>
  <si>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</si>
  <si>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</si>
  <si>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</si>
  <si>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</si>
  <si>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</si>
  <si>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</si>
  <si>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</si>
  <si>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</si>
  <si>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</si>
  <si>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</si>
  <si>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</si>
  <si>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</si>
  <si>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</si>
  <si>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</si>
  <si>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</si>
  <si>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</si>
  <si>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</si>
  <si>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</si>
  <si>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</si>
  <si>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</si>
  <si>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</si>
  <si>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</si>
  <si>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</si>
  <si>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</si>
  <si>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</si>
  <si>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</si>
  <si>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</si>
  <si>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</si>
  <si>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</si>
  <si>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</si>
  <si>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</si>
  <si>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</si>
  <si>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</si>
  <si>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</si>
  <si>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</si>
  <si>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</si>
  <si>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</si>
  <si>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</si>
  <si>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</si>
  <si>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</si>
  <si>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</si>
  <si>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</si>
  <si>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</si>
  <si>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</si>
  <si>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</si>
  <si>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</si>
  <si>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</si>
  <si>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</si>
  <si>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</si>
  <si>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</si>
  <si>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</si>
  <si>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</si>
  <si>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</si>
  <si>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</si>
  <si>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</si>
  <si>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</si>
  <si>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</si>
  <si>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</si>
  <si>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</si>
  <si>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</si>
  <si>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</si>
  <si>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</si>
  <si>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</si>
  <si>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</si>
  <si>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</si>
  <si>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</si>
  <si>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</si>
  <si>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</si>
  <si>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</si>
  <si>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</si>
  <si>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</si>
  <si>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</si>
  <si>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</si>
  <si>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</si>
  <si>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</si>
  <si>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</si>
  <si>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</si>
  <si>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</si>
  <si>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</si>
  <si>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</si>
  <si>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</si>
  <si>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</si>
  <si>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</si>
  <si>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</si>
  <si>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</si>
  <si>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</si>
  <si>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</si>
  <si>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</si>
  <si>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</si>
  <si>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</si>
  <si>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</si>
  <si>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</si>
  <si>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</si>
  <si>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</si>
  <si>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</si>
  <si>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</si>
  <si>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</si>
  <si>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</si>
  <si>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</si>
  <si>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</si>
  <si>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</si>
  <si>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</si>
  <si>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</si>
  <si>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</si>
  <si>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</si>
  <si>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</si>
  <si>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</si>
  <si>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</si>
  <si>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</si>
  <si>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</si>
  <si>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</si>
  <si>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</si>
  <si>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</si>
  <si>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</si>
  <si>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</si>
  <si>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</si>
  <si>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</si>
  <si>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</si>
  <si>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</si>
  <si>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</si>
  <si>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</si>
  <si>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</si>
  <si>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</si>
  <si>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</si>
  <si>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</si>
  <si>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</si>
  <si>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</si>
  <si>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</si>
  <si>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</si>
  <si>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</si>
  <si>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</si>
  <si>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</si>
  <si>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</si>
  <si>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</si>
  <si>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</si>
  <si>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</si>
  <si>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</si>
  <si>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</si>
  <si>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</si>
  <si>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</si>
  <si>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</si>
  <si>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</si>
  <si>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</si>
  <si>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</si>
  <si>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</si>
  <si>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</si>
  <si>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</si>
  <si>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</si>
  <si>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</si>
  <si>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</si>
  <si>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</si>
  <si>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</si>
  <si>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</si>
  <si>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</si>
  <si>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</si>
  <si>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</si>
  <si>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</si>
  <si>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</si>
  <si>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</si>
  <si>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</si>
  <si>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</si>
  <si>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</si>
  <si>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</si>
  <si>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</si>
  <si>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</si>
  <si>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</si>
  <si>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</si>
  <si>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</si>
  <si>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</si>
  <si>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</si>
  <si>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</si>
  <si>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</si>
  <si>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</si>
  <si>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</si>
  <si>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</si>
  <si>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</si>
  <si>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</si>
  <si>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</si>
  <si>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</si>
  <si>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</si>
  <si>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</si>
  <si>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</si>
  <si>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</si>
  <si>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</si>
  <si>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</si>
  <si>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</si>
  <si>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</si>
  <si>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</si>
  <si>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</si>
  <si>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</si>
  <si>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</si>
  <si>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</si>
  <si>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</si>
  <si>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</si>
  <si>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</si>
  <si>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</si>
  <si>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</si>
  <si>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</si>
  <si>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</si>
  <si>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</si>
  <si>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</si>
  <si>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</si>
  <si>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</si>
  <si>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</si>
  <si>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</si>
  <si>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</si>
  <si>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</si>
  <si>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</si>
  <si>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</si>
  <si>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</si>
  <si>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</si>
  <si>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</si>
  <si>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</si>
  <si>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</si>
  <si>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</si>
  <si>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</si>
  <si>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</si>
  <si>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</si>
  <si>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</si>
  <si>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</si>
  <si>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</si>
  <si>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</si>
  <si>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</si>
  <si>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</si>
  <si>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</si>
  <si>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</si>
  <si>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</si>
  <si>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</si>
  <si>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</si>
  <si>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</si>
  <si>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</si>
  <si>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</si>
  <si>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</si>
  <si>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</si>
  <si>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</si>
  <si>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</si>
  <si>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</si>
  <si>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</si>
  <si>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</si>
  <si>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</si>
  <si>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</si>
  <si>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</si>
  <si>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</si>
  <si>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</si>
  <si>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</si>
  <si>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</si>
  <si>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</si>
  <si>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</si>
  <si>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</si>
  <si>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</si>
  <si>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</si>
  <si>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</si>
  <si>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</si>
  <si>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</si>
  <si>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</si>
  <si>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</si>
  <si>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</si>
  <si>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</si>
  <si>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</si>
  <si>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</si>
  <si>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</si>
  <si>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</si>
  <si>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</si>
  <si>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</si>
  <si>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</si>
  <si>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</si>
  <si>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</si>
  <si>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</si>
  <si>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</si>
  <si>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</si>
  <si>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</si>
  <si>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</si>
  <si>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</si>
  <si>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</si>
  <si>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</si>
  <si>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</si>
  <si>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</si>
  <si>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</si>
  <si>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</si>
  <si>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</si>
  <si>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</si>
  <si>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</si>
  <si>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</si>
  <si>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</si>
  <si>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</si>
  <si>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</si>
  <si>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</si>
  <si>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</si>
  <si>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</si>
  <si>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</si>
  <si>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</si>
  <si>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</si>
  <si>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</si>
  <si>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</si>
  <si>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</si>
  <si>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</si>
  <si>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</si>
  <si>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</si>
  <si>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</si>
  <si>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</si>
  <si>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</si>
  <si>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</si>
  <si>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</si>
  <si>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</si>
  <si>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</si>
  <si>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</si>
  <si>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</si>
  <si>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</si>
  <si>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</si>
  <si>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</si>
  <si>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</si>
  <si>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</si>
  <si>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</si>
  <si>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</si>
  <si>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</si>
  <si>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</si>
  <si>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</si>
  <si>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</si>
  <si>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</si>
  <si>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</si>
  <si>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</si>
  <si>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</si>
  <si>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</si>
  <si>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</si>
  <si>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</si>
  <si>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</si>
  <si>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</si>
  <si>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</si>
  <si>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</si>
  <si>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</si>
  <si>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</si>
  <si>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</si>
  <si>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</si>
  <si>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</si>
  <si>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</si>
  <si>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</si>
  <si>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</si>
  <si>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</si>
  <si>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</si>
  <si>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</si>
  <si>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</si>
  <si>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</si>
  <si>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</si>
  <si>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</si>
  <si>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</si>
  <si>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</si>
  <si>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</si>
  <si>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</si>
  <si>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</si>
  <si>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</si>
  <si>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</si>
  <si>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</si>
  <si>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</si>
  <si>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</si>
  <si>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</si>
  <si>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</si>
  <si>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</si>
  <si>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</si>
  <si>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</si>
  <si>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</si>
  <si>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</si>
  <si>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</si>
  <si>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</si>
  <si>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</si>
  <si>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</si>
  <si>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</si>
  <si>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</si>
  <si>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</si>
  <si>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</si>
  <si>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</si>
  <si>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</si>
  <si>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</si>
  <si>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</si>
  <si>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</si>
  <si>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</si>
  <si>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</si>
  <si>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</si>
  <si>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</si>
  <si>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</si>
  <si>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</si>
  <si>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</si>
  <si>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</si>
  <si>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</si>
  <si>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</si>
  <si>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</si>
  <si>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</si>
  <si>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</si>
  <si>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</si>
  <si>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</si>
  <si>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</si>
  <si>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</si>
  <si>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</si>
  <si>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</si>
  <si>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</si>
  <si>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</si>
  <si>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</si>
  <si>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</si>
  <si>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</si>
  <si>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</si>
  <si>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</si>
  <si>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</si>
  <si>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</si>
  <si>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</si>
  <si>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</si>
  <si>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</si>
  <si>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</si>
  <si>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</si>
  <si>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</si>
  <si>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</si>
  <si>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</si>
  <si>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</si>
  <si>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</si>
  <si>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</si>
  <si>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</si>
  <si>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</si>
  <si>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</si>
  <si>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</si>
  <si>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</si>
  <si>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</si>
  <si>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</si>
  <si>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</si>
  <si>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</si>
  <si>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</si>
  <si>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</si>
  <si>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</si>
  <si>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</si>
  <si>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</si>
  <si>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</si>
  <si>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</si>
  <si>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</si>
  <si>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</si>
  <si>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</si>
  <si>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</si>
  <si>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</si>
  <si>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</si>
  <si>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</si>
  <si>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</si>
  <si>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</si>
  <si>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</si>
  <si>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</si>
  <si>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</si>
  <si>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</si>
  <si>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</si>
  <si>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</si>
  <si>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</si>
  <si>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</si>
  <si>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</si>
  <si>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</si>
  <si>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</si>
  <si>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</si>
  <si>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</si>
  <si>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</si>
  <si>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</si>
  <si>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</si>
  <si>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</si>
  <si>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</si>
  <si>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</si>
  <si>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</si>
  <si>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</si>
  <si>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</si>
  <si>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</si>
  <si>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</si>
  <si>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</si>
  <si>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</si>
  <si>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</si>
  <si>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</si>
  <si>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</si>
  <si>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</si>
  <si>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</si>
  <si>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</si>
  <si>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</si>
  <si>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</si>
  <si>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</si>
  <si>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</si>
  <si>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</si>
  <si>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</si>
  <si>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</si>
  <si>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</si>
  <si>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</si>
  <si>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</si>
  <si>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</si>
  <si>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</si>
  <si>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</si>
  <si>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</si>
  <si>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</si>
  <si>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</si>
  <si>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</si>
  <si>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</si>
  <si>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</si>
  <si>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</si>
  <si>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</si>
  <si>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</si>
  <si>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</si>
  <si>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</si>
  <si>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</si>
  <si>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</si>
  <si>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</si>
  <si>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</si>
  <si>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</si>
  <si>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</si>
  <si>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</si>
  <si>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</si>
  <si>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</si>
  <si>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</si>
  <si>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</si>
  <si>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</si>
  <si>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</si>
  <si>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</si>
  <si>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</si>
  <si>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</si>
  <si>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</si>
  <si>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</si>
  <si>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</si>
  <si>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</si>
  <si>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</si>
  <si>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</si>
  <si>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</si>
  <si>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</si>
  <si>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</si>
  <si>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</si>
  <si>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</si>
  <si>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</si>
  <si>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</si>
  <si>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</si>
  <si>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</si>
  <si>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</si>
  <si>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</si>
  <si>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</si>
  <si>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</si>
  <si>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</si>
  <si>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</si>
  <si>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</si>
  <si>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</si>
  <si>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</si>
  <si>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</si>
  <si>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</si>
  <si>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</si>
  <si>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</si>
  <si>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</si>
  <si>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</si>
  <si>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</si>
  <si>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</si>
  <si>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</si>
  <si>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</si>
  <si>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</si>
  <si>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</si>
  <si>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</si>
  <si>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</si>
  <si>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</si>
  <si>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</si>
  <si>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</si>
  <si>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</si>
  <si>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</si>
  <si>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</si>
  <si>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</si>
  <si>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</si>
  <si>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</si>
  <si>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</si>
  <si>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</si>
  <si>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</si>
  <si>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</si>
  <si>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</si>
  <si>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</si>
  <si>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</si>
  <si>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</si>
  <si>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</si>
  <si>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</si>
  <si>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</si>
  <si>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</si>
  <si>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</si>
  <si>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</si>
  <si>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</si>
  <si>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</si>
  <si>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</si>
  <si>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</si>
  <si>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</si>
  <si>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</si>
  <si>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</si>
  <si>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</si>
  <si>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</si>
  <si>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</si>
  <si>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</si>
  <si>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</si>
  <si>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</si>
  <si>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</si>
  <si>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</si>
  <si>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</si>
  <si>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</si>
  <si>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</si>
  <si>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</si>
  <si>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</si>
  <si>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</si>
  <si>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</si>
  <si>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</si>
  <si>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</si>
  <si>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</si>
  <si>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</si>
  <si>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</si>
  <si>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</si>
  <si>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</si>
  <si>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</si>
  <si>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</si>
  <si>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</si>
  <si>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</si>
  <si>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</si>
  <si>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</si>
  <si>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</si>
  <si>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</si>
  <si>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</si>
  <si>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</si>
  <si>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</si>
  <si>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</si>
  <si>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</si>
  <si>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</si>
  <si>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</si>
  <si>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</si>
  <si>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</si>
  <si>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</si>
  <si>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</si>
  <si>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</si>
  <si>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</si>
  <si>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</si>
  <si>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</si>
  <si>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</si>
  <si>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</si>
  <si>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</si>
  <si>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</si>
  <si>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</si>
  <si>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</si>
  <si>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</si>
  <si>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</si>
  <si>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</si>
  <si>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</si>
  <si>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</si>
  <si>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</si>
  <si>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</si>
  <si>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</si>
  <si>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</si>
  <si>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</si>
  <si>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</si>
  <si>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</si>
  <si>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</si>
  <si>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</si>
  <si>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</si>
  <si>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</si>
  <si>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</si>
  <si>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</si>
  <si>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</si>
  <si>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</si>
  <si>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</si>
  <si>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</si>
  <si>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</si>
  <si>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</si>
  <si>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</si>
  <si>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</si>
  <si>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</si>
  <si>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</si>
  <si>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</si>
  <si>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</si>
  <si>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</si>
  <si>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</si>
  <si>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</si>
  <si>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</si>
  <si>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</si>
  <si>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</si>
  <si>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</si>
  <si>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</si>
  <si>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</si>
  <si>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</si>
  <si>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</si>
  <si>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</si>
  <si>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</si>
  <si>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</si>
  <si>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</si>
  <si>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</si>
  <si>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</si>
  <si>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</si>
  <si>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</si>
  <si>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</si>
  <si>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</si>
  <si>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</si>
  <si>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</si>
  <si>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</si>
  <si>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</si>
  <si>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</si>
  <si>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</si>
  <si>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</si>
  <si>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</si>
  <si>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</si>
  <si>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</si>
  <si>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</si>
  <si>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</si>
  <si>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</si>
  <si>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</si>
  <si>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</si>
  <si>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</si>
  <si>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</si>
  <si>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</si>
  <si>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</si>
  <si>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</si>
  <si>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</si>
  <si>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</si>
  <si>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</si>
  <si>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</si>
  <si>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</si>
  <si>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</si>
  <si>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</si>
  <si>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</si>
  <si>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</si>
  <si>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</si>
  <si>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</si>
  <si>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</si>
  <si>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</si>
  <si>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</si>
  <si>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</si>
  <si>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</si>
  <si>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</si>
  <si>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</si>
  <si>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</si>
  <si>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</si>
  <si>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</si>
  <si>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</si>
  <si>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</si>
  <si>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</si>
  <si>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</si>
  <si>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</si>
  <si>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</si>
  <si>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</si>
  <si>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</si>
  <si>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</si>
  <si>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</si>
  <si>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</si>
  <si>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</si>
  <si>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</si>
  <si>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</si>
  <si>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</si>
  <si>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</si>
  <si>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</si>
  <si>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</si>
  <si>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</si>
  <si>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</si>
  <si>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</si>
  <si>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</si>
  <si>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</si>
  <si>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</si>
  <si>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</si>
  <si>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</si>
  <si>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</si>
  <si>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</si>
  <si>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</si>
  <si>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</si>
  <si>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</si>
  <si>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</si>
  <si>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</si>
  <si>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</si>
  <si>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</si>
  <si>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</si>
  <si>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</si>
  <si>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</si>
  <si>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</si>
  <si>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</si>
  <si>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</si>
  <si>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</si>
  <si>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</si>
  <si>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</si>
  <si>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</si>
  <si>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</si>
  <si>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</si>
  <si>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</si>
  <si>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</si>
  <si>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</si>
  <si>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</si>
  <si>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</si>
  <si>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</si>
  <si>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</si>
  <si>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</si>
  <si>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</si>
  <si>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</si>
  <si>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</si>
  <si>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</si>
  <si>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</si>
  <si>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</si>
  <si>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</si>
  <si>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</si>
  <si>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</si>
  <si>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</si>
  <si>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</si>
  <si>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</si>
  <si>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</si>
  <si>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</si>
  <si>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</si>
  <si>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</si>
  <si>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</si>
  <si>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</si>
  <si>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</si>
  <si>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</si>
  <si>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</si>
  <si>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</si>
  <si>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</si>
  <si>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</si>
  <si>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</si>
  <si>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</si>
  <si>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</si>
  <si>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</si>
  <si>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</si>
  <si>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</si>
  <si>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</si>
  <si>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</si>
  <si>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</si>
  <si>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</si>
  <si>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</si>
  <si>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</si>
  <si>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</si>
  <si>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</si>
  <si>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</si>
  <si>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</si>
  <si>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</si>
  <si>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</si>
  <si>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</si>
  <si>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</si>
  <si>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</si>
  <si>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</si>
  <si>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</si>
  <si>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</si>
  <si>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</si>
  <si>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</si>
  <si>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</si>
  <si>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</si>
  <si>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</si>
  <si>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</si>
  <si>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</si>
  <si>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</si>
  <si>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</si>
  <si>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</si>
  <si>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</si>
  <si>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</si>
  <si>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</si>
  <si>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</si>
  <si>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</si>
  <si>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</si>
  <si>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</si>
  <si>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</si>
  <si>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</si>
  <si>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</si>
  <si>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</si>
  <si>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</si>
  <si>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</si>
  <si>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</si>
  <si>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</si>
  <si>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</si>
  <si>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</si>
  <si>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</si>
  <si>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</si>
  <si>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</si>
  <si>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</si>
  <si>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</si>
  <si>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</si>
  <si>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</si>
  <si>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</si>
  <si>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</si>
  <si>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</si>
  <si>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</si>
  <si>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</si>
  <si>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</si>
  <si>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</si>
  <si>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</si>
  <si>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</si>
  <si>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</si>
  <si>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</si>
  <si>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</si>
  <si>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</si>
  <si>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</si>
  <si>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</si>
  <si>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</si>
  <si>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</si>
  <si>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</si>
  <si>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</si>
  <si>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</si>
  <si>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</si>
  <si>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</si>
  <si>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</si>
  <si>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</si>
  <si>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</si>
  <si>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</si>
  <si>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</si>
  <si>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</si>
  <si>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</si>
  <si>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</si>
  <si>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</si>
  <si>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</si>
  <si>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</si>
  <si>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</si>
  <si>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</si>
  <si>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</si>
  <si>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</si>
  <si>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</si>
  <si>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</si>
  <si>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</si>
  <si>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</si>
  <si>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</si>
  <si>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</si>
  <si>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</si>
  <si>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</si>
  <si>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</si>
  <si>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</si>
  <si>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</si>
  <si>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</si>
  <si>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</si>
  <si>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</si>
  <si>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</si>
  <si>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</si>
  <si>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</si>
  <si>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</si>
  <si>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</si>
  <si>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</si>
  <si>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</si>
  <si>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</si>
  <si>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</si>
  <si>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</si>
  <si>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</si>
  <si>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</si>
  <si>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</si>
  <si>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</si>
  <si>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</si>
  <si>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</si>
  <si>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</si>
  <si>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</si>
  <si>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</si>
  <si>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</si>
  <si>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</si>
  <si>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</si>
  <si>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</si>
  <si>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</si>
  <si>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</si>
  <si>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</si>
  <si>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</si>
  <si>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</si>
  <si>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</si>
  <si>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</si>
  <si>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</si>
  <si>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</si>
  <si>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</si>
  <si>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</si>
  <si>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</si>
  <si>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</si>
  <si>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</si>
  <si>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</si>
  <si>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</si>
  <si>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</si>
  <si>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</si>
  <si>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</si>
  <si>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</si>
  <si>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</si>
  <si>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</si>
  <si>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</si>
  <si>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</si>
  <si>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</si>
  <si>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</si>
  <si>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</si>
  <si>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</si>
  <si>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</si>
  <si>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</si>
  <si>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</si>
  <si>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</si>
  <si>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</si>
  <si>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</si>
  <si>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</si>
  <si>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</si>
  <si>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</si>
  <si>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</si>
  <si>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</si>
  <si>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</si>
  <si>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</si>
  <si>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</si>
  <si>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</si>
  <si>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</si>
  <si>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</si>
  <si>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</si>
  <si>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</si>
  <si>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</si>
  <si>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</si>
  <si>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</si>
  <si>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</si>
  <si>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</si>
  <si>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</si>
  <si>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</si>
  <si>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</si>
  <si>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</si>
  <si>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</si>
  <si>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</si>
  <si>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</si>
  <si>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</si>
  <si>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</si>
  <si>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</si>
  <si>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</si>
  <si>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</si>
  <si>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</si>
  <si>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</si>
  <si>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</si>
  <si>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</si>
  <si>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</si>
  <si>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</si>
  <si>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</si>
  <si>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</si>
  <si>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</si>
  <si>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</si>
  <si>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</si>
  <si>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</si>
  <si>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</si>
  <si>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</si>
  <si>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</si>
  <si>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</si>
  <si>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</si>
  <si>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</si>
  <si>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</si>
  <si>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</si>
  <si>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</si>
  <si>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</si>
  <si>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</si>
  <si>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</si>
  <si>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</si>
  <si>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</si>
  <si>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</si>
  <si>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</si>
  <si>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</si>
  <si>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</si>
  <si>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</si>
  <si>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</si>
  <si>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</si>
  <si>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</si>
  <si>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</si>
  <si>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</si>
  <si>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</si>
  <si>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</si>
  <si>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</si>
  <si>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</si>
  <si>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</si>
  <si>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</si>
  <si>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</si>
  <si>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</si>
  <si>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</si>
  <si>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</si>
  <si>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</si>
  <si>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</si>
  <si>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</si>
  <si>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</si>
  <si>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</si>
  <si>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</si>
  <si>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</si>
  <si>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</si>
  <si>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</si>
  <si>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</si>
  <si>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</si>
  <si>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</si>
  <si>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</si>
  <si>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</si>
  <si>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</si>
  <si>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</si>
  <si>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</si>
  <si>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</si>
  <si>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</si>
  <si>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</si>
  <si>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</si>
  <si>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</si>
  <si>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</si>
  <si>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</si>
  <si>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</si>
  <si>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</si>
  <si>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</si>
  <si>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</si>
  <si>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</si>
  <si>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</si>
  <si>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</si>
  <si>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</si>
  <si>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</si>
  <si>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</si>
  <si>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</si>
  <si>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</si>
  <si>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</si>
  <si>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</si>
  <si>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</si>
  <si>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</si>
  <si>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</si>
  <si>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</si>
  <si>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</si>
  <si>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</si>
  <si>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</si>
  <si>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</si>
  <si>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</si>
  <si>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</si>
  <si>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</si>
  <si>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</si>
  <si>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</si>
  <si>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</si>
  <si>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</si>
  <si>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</si>
  <si>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</si>
  <si>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</si>
  <si>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</si>
  <si>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</si>
  <si>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</si>
  <si>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</si>
  <si>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</si>
  <si>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</si>
  <si>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</si>
  <si>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</si>
  <si>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</si>
  <si>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</si>
  <si>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</si>
  <si>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</si>
  <si>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</si>
  <si>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</si>
  <si>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</si>
  <si>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</si>
  <si>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</si>
  <si>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</si>
  <si>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</si>
  <si>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</si>
  <si>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</si>
  <si>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</si>
  <si>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</si>
  <si>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</si>
  <si>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</si>
  <si>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</si>
  <si>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</si>
  <si>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</si>
  <si>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</si>
  <si>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</si>
  <si>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</si>
  <si>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</si>
  <si>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</si>
  <si>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</si>
  <si>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</si>
  <si>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</si>
  <si>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</si>
  <si>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</si>
  <si>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</si>
  <si>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</si>
  <si>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</si>
  <si>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</si>
  <si>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</si>
  <si>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</si>
  <si>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</si>
  <si>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</si>
  <si>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</si>
  <si>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</si>
  <si>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</si>
  <si>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</si>
  <si>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</si>
  <si>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</si>
  <si>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</si>
  <si>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</si>
  <si>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</si>
  <si>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</si>
  <si>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</si>
  <si>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</si>
  <si>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</si>
  <si>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</si>
  <si>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</si>
  <si>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</si>
  <si>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</si>
  <si>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</si>
  <si>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</si>
  <si>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</si>
  <si>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</si>
  <si>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</si>
  <si>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</si>
  <si>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</si>
  <si>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</si>
  <si>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</si>
  <si>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</si>
  <si>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</si>
  <si>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</si>
  <si>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</si>
  <si>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</si>
  <si>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</si>
  <si>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</si>
  <si>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</si>
  <si>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</si>
  <si>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</si>
  <si>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</si>
  <si>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</si>
  <si>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</si>
  <si>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</si>
  <si>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</si>
  <si>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</si>
  <si>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</si>
  <si>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</si>
  <si>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</si>
  <si>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</si>
  <si>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</si>
  <si>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</si>
  <si>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</si>
  <si>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</si>
  <si>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</si>
  <si>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</si>
  <si>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</si>
  <si>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</si>
  <si>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</si>
  <si>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</si>
  <si>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</si>
  <si>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</si>
  <si>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</si>
  <si>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</si>
  <si>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</si>
  <si>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</si>
  <si>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</si>
  <si>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</si>
  <si>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</si>
  <si>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</si>
  <si>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</si>
  <si>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</si>
  <si>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</si>
  <si>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</si>
  <si>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</si>
  <si>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</si>
  <si>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</si>
  <si>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</si>
  <si>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</si>
  <si>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</si>
  <si>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</si>
  <si>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</si>
  <si>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</si>
  <si>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</si>
  <si>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</si>
  <si>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</si>
  <si>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</si>
  <si>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</si>
  <si>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</si>
  <si>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</si>
  <si>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</si>
  <si>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</si>
  <si>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</si>
  <si>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</si>
  <si>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</si>
  <si>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</si>
  <si>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</si>
  <si>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</si>
  <si>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</si>
  <si>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</si>
  <si>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</si>
  <si>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</si>
  <si>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</si>
  <si>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</si>
  <si>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</si>
  <si>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</si>
  <si>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</si>
  <si>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</si>
  <si>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</si>
  <si>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</si>
  <si>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</si>
  <si>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</si>
  <si>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</si>
  <si>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</si>
  <si>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</si>
  <si>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</si>
  <si>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</si>
  <si>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</si>
  <si>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</si>
  <si>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</si>
  <si>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</si>
  <si>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</si>
  <si>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</si>
  <si>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</si>
  <si>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</si>
  <si>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</si>
  <si>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</si>
  <si>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</si>
  <si>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</si>
  <si>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</si>
  <si>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</si>
  <si>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</si>
  <si>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</si>
  <si>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</si>
  <si>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</si>
  <si>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</si>
  <si>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</si>
  <si>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</si>
  <si>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</si>
  <si>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</si>
  <si>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</si>
  <si>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</si>
  <si>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</si>
  <si>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</si>
  <si>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</si>
  <si>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</si>
  <si>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</si>
  <si>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</si>
  <si>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</si>
  <si>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</si>
  <si>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</si>
  <si>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</si>
  <si>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</si>
  <si>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</si>
  <si>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</si>
  <si>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</si>
  <si>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</si>
  <si>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</si>
  <si>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</si>
  <si>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</si>
  <si>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</si>
  <si>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</si>
  <si>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</si>
  <si>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</si>
  <si>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</si>
  <si>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</si>
  <si>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</si>
  <si>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</si>
  <si>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</si>
  <si>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</si>
  <si>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</si>
  <si>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</si>
  <si>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</si>
  <si>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</si>
  <si>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</si>
  <si>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</si>
  <si>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</si>
  <si>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</si>
  <si>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</si>
  <si>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</si>
  <si>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</si>
  <si>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</si>
  <si>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</si>
  <si>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</si>
  <si>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</si>
  <si>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</si>
  <si>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</si>
  <si>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</si>
  <si>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</si>
  <si>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</si>
  <si>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</si>
  <si>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</si>
  <si>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</si>
  <si>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</si>
  <si>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</si>
  <si>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</si>
  <si>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</si>
  <si>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</si>
  <si>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</si>
  <si>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</si>
  <si>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</si>
  <si>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</si>
  <si>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</si>
  <si>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</si>
  <si>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</si>
  <si>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</si>
  <si>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</si>
  <si>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</si>
  <si>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</si>
  <si>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</si>
  <si>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</si>
  <si>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</si>
  <si>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</si>
  <si>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</si>
  <si>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</si>
  <si>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</si>
  <si>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</si>
  <si>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</si>
  <si>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</si>
  <si>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</si>
  <si>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</si>
  <si>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</si>
  <si>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</si>
  <si>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</si>
  <si>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</si>
  <si>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</si>
  <si>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</si>
  <si>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</si>
  <si>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</si>
  <si>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</si>
  <si>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</si>
  <si>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</si>
  <si>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</si>
  <si>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</si>
  <si>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</si>
  <si>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</si>
  <si>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</si>
  <si>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</si>
  <si>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</si>
  <si>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</si>
  <si>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</si>
  <si>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</si>
  <si>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</si>
  <si>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</si>
  <si>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</si>
  <si>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</si>
  <si>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</si>
  <si>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</si>
  <si>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</si>
  <si>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</si>
  <si>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</si>
  <si>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</si>
  <si>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</si>
  <si>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</si>
  <si>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</si>
  <si>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</si>
  <si>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</si>
  <si>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</si>
  <si>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</si>
  <si>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</si>
  <si>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</si>
  <si>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</si>
  <si>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</si>
  <si>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</si>
  <si>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</si>
  <si>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</si>
  <si>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</si>
  <si>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</si>
  <si>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</si>
  <si>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</si>
  <si>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</si>
  <si>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</si>
  <si>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</si>
  <si>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</si>
  <si>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</si>
  <si>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</si>
  <si>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</si>
  <si>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</si>
  <si>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</si>
  <si>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</si>
  <si>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</si>
  <si>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</si>
  <si>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</si>
  <si>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</si>
  <si>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</si>
  <si>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</si>
  <si>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</si>
  <si>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</si>
  <si>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</si>
  <si>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</si>
  <si>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</si>
  <si>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</si>
  <si>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</si>
  <si>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</si>
  <si>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</si>
  <si>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</si>
  <si>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</si>
  <si>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</si>
  <si>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</si>
  <si>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</si>
  <si>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</si>
  <si>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</si>
  <si>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</si>
  <si>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</si>
  <si>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</si>
  <si>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</si>
  <si>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</si>
  <si>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</si>
  <si>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</si>
  <si>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</si>
  <si>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</si>
  <si>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</si>
  <si>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</si>
  <si>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</si>
  <si>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</si>
  <si>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</si>
  <si>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</si>
  <si>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</si>
  <si>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</si>
  <si>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</si>
  <si>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</si>
  <si>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</si>
  <si>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</si>
  <si>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</si>
  <si>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</si>
  <si>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</si>
  <si>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</si>
  <si>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</si>
  <si>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</si>
  <si>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</si>
  <si>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</si>
  <si>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</si>
  <si>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</si>
  <si>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</si>
  <si>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</si>
  <si>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</si>
  <si>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</si>
  <si>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</si>
  <si>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</si>
  <si>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</si>
  <si>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</si>
  <si>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</si>
  <si>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</si>
  <si>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</si>
  <si>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</si>
  <si>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</si>
  <si>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</si>
  <si>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</si>
  <si>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</si>
  <si>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</si>
  <si>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</si>
  <si>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</si>
  <si>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</si>
  <si>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</si>
  <si>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</si>
  <si>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</si>
  <si>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</si>
  <si>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</si>
  <si>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</si>
  <si>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</si>
  <si>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</si>
  <si>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</si>
  <si>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</si>
  <si>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</si>
  <si>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</si>
  <si>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</si>
  <si>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</si>
  <si>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</si>
  <si>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</si>
  <si>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</si>
  <si>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</si>
  <si>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</si>
  <si>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</si>
  <si>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</si>
  <si>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</si>
  <si>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</si>
  <si>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</si>
  <si>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</si>
  <si>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</si>
  <si>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</si>
  <si>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</si>
  <si>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</si>
  <si>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</si>
  <si>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</si>
  <si>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</si>
  <si>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</si>
  <si>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</si>
  <si>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</si>
  <si>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</si>
  <si>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</si>
  <si>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</si>
  <si>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</si>
  <si>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</si>
  <si>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</si>
  <si>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</si>
  <si>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</si>
  <si>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</si>
  <si>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</si>
  <si>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</si>
  <si>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</si>
  <si>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</si>
  <si>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</si>
  <si>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</si>
  <si>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</si>
  <si>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</si>
  <si>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</si>
  <si>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</si>
  <si>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</si>
  <si>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</si>
  <si>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</si>
  <si>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</si>
  <si>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</si>
  <si>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</si>
  <si>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</si>
  <si>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</si>
  <si>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</si>
  <si>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</si>
  <si>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</si>
  <si>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</si>
  <si>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</si>
  <si>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</si>
  <si>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</si>
  <si>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</si>
  <si>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</si>
  <si>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</si>
  <si>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</si>
  <si>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</si>
  <si>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</si>
  <si>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</si>
  <si>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</si>
  <si>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</si>
  <si>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</si>
  <si>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</si>
  <si>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</si>
  <si>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</si>
  <si>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</si>
  <si>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</si>
  <si>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</si>
  <si>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</si>
  <si>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</si>
  <si>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</si>
  <si>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</si>
  <si>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</si>
  <si>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</si>
  <si>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</si>
  <si>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</si>
  <si>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</si>
  <si>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</si>
  <si>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</si>
  <si>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</si>
  <si>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</si>
  <si>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</si>
  <si>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</si>
  <si>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</si>
  <si>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</si>
  <si>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</si>
  <si>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</si>
  <si>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</si>
  <si>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</si>
  <si>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</si>
  <si>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</si>
  <si>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</si>
  <si>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</si>
  <si>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</si>
  <si>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</si>
  <si>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</si>
  <si>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</si>
  <si>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</si>
  <si>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</si>
  <si>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</si>
  <si>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</si>
  <si>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</si>
  <si>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</si>
  <si>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</si>
  <si>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</si>
  <si>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</si>
  <si>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</si>
  <si>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</si>
  <si>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</si>
  <si>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</si>
  <si>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</si>
  <si>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</si>
  <si>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</si>
  <si>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</si>
  <si>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</si>
  <si>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</si>
  <si>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</si>
  <si>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</si>
  <si>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</si>
  <si>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</si>
  <si>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</si>
  <si>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</si>
  <si>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</si>
  <si>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</si>
  <si>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</si>
  <si>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</si>
  <si>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</si>
  <si>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</si>
  <si>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</si>
  <si>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</si>
  <si>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</si>
  <si>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</si>
  <si>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</si>
  <si>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</si>
  <si>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</si>
  <si>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</si>
  <si>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</si>
  <si>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</si>
  <si>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</si>
  <si>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</si>
  <si>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</si>
  <si>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</si>
  <si>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</si>
  <si>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</si>
  <si>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</si>
  <si>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</si>
  <si>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</si>
  <si>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</si>
  <si>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</si>
  <si>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</si>
  <si>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</si>
  <si>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</si>
  <si>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</si>
  <si>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</si>
  <si>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</si>
  <si>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</si>
  <si>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</si>
  <si>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</si>
  <si>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</si>
  <si>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</si>
  <si>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</si>
  <si>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</si>
  <si>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</si>
  <si>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</si>
  <si>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</si>
  <si>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</si>
  <si>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</si>
  <si>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</si>
  <si>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</si>
  <si>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</si>
  <si>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</si>
  <si>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</si>
  <si>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</si>
  <si>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</si>
  <si>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</si>
  <si>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</si>
  <si>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</si>
  <si>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</si>
  <si>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</si>
  <si>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</si>
  <si>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</si>
  <si>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</si>
  <si>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</si>
  <si>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</si>
  <si>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</si>
  <si>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</si>
  <si>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</si>
  <si>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</si>
  <si>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</si>
  <si>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</si>
  <si>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</si>
  <si>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</si>
  <si>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</si>
  <si>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</si>
  <si>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</si>
  <si>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</si>
  <si>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</si>
  <si>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</si>
  <si>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</si>
  <si>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</si>
  <si>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</si>
  <si>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</si>
  <si>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</si>
  <si>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</si>
  <si>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</si>
  <si>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</si>
  <si>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</si>
  <si>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</si>
  <si>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</si>
  <si>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</si>
  <si>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</si>
  <si>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</si>
  <si>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</si>
  <si>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</si>
  <si>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</si>
  <si>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</si>
  <si>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</si>
  <si>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</si>
  <si>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</si>
  <si>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</si>
  <si>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</si>
  <si>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</si>
  <si>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</si>
  <si>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</si>
  <si>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</si>
  <si>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</si>
  <si>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</si>
  <si>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</si>
  <si>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</si>
  <si>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</si>
  <si>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</si>
  <si>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</si>
  <si>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</si>
  <si>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</si>
  <si>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</si>
  <si>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</si>
  <si>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</si>
  <si>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</si>
  <si>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</si>
  <si>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</si>
  <si>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</si>
  <si>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</si>
  <si>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</si>
  <si>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</si>
  <si>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</si>
  <si>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</si>
  <si>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</si>
  <si>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</si>
  <si>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</si>
  <si>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</si>
  <si>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</si>
  <si>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</si>
  <si>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</si>
  <si>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</si>
  <si>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</si>
  <si>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</si>
  <si>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</si>
  <si>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</si>
  <si>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</si>
  <si>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</si>
  <si>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</si>
  <si>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</si>
  <si>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</si>
  <si>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</si>
  <si>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</si>
  <si>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</si>
  <si>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</si>
  <si>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</si>
  <si>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</si>
  <si>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</si>
  <si>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</si>
  <si>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</si>
  <si>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</si>
  <si>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</si>
  <si>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</si>
  <si>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</si>
  <si>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</si>
  <si>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</si>
  <si>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</si>
  <si>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</si>
  <si>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</si>
  <si>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</si>
  <si>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</si>
  <si>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</si>
  <si>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</si>
  <si>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</si>
  <si>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</si>
  <si>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</si>
  <si>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</si>
  <si>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</si>
  <si>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</si>
  <si>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</si>
  <si>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</si>
  <si>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</si>
  <si>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</si>
  <si>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</si>
  <si>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</si>
  <si>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</si>
  <si>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</si>
  <si>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</si>
  <si>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</si>
  <si>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</si>
  <si>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</si>
  <si>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</si>
  <si>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</si>
  <si>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</si>
  <si>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</si>
  <si>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</si>
  <si>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</si>
  <si>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</si>
  <si>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</si>
  <si>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</si>
  <si>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</si>
  <si>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</si>
  <si>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</si>
  <si>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</si>
  <si>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</si>
  <si>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</si>
  <si>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</si>
  <si>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</si>
  <si>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</si>
  <si>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</si>
  <si>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</si>
  <si>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</si>
  <si>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</si>
  <si>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</si>
  <si>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</si>
  <si>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</si>
  <si>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</si>
  <si>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</si>
  <si>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</si>
  <si>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</si>
  <si>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</si>
  <si>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</si>
  <si>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</si>
  <si>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</si>
  <si>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</si>
  <si>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</si>
  <si>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</si>
  <si>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</si>
  <si>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</si>
  <si>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</si>
  <si>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</si>
  <si>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</si>
  <si>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</si>
  <si>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</si>
  <si>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</si>
  <si>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</si>
  <si>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</si>
  <si>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</si>
  <si>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</si>
  <si>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</si>
  <si>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</si>
  <si>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</si>
  <si>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</si>
  <si>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</si>
  <si>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</si>
  <si>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</si>
  <si>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</si>
  <si>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</si>
  <si>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</si>
  <si>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</si>
  <si>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</si>
  <si>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</si>
  <si>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</si>
  <si>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</si>
  <si>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</si>
  <si>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</si>
  <si>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</si>
  <si>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</si>
  <si>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</si>
  <si>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</si>
  <si>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</si>
  <si>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</si>
  <si>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</si>
  <si>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</si>
  <si>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</si>
  <si>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</si>
  <si>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</si>
  <si>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</si>
  <si>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</si>
  <si>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</si>
  <si>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</si>
  <si>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</si>
  <si>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</si>
  <si>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</si>
  <si>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</si>
  <si>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</si>
  <si>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</si>
  <si>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</si>
  <si>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</si>
  <si>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</si>
  <si>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</si>
  <si>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</si>
  <si>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</si>
  <si>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</si>
  <si>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</si>
  <si>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</si>
  <si>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</si>
  <si>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</si>
  <si>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</si>
  <si>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</si>
  <si>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</si>
  <si>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</si>
  <si>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</si>
  <si>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</si>
  <si>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</si>
  <si>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</si>
  <si>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</si>
  <si>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</si>
  <si>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</si>
  <si>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</si>
  <si>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</si>
  <si>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</si>
  <si>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</si>
  <si>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</si>
  <si>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</si>
  <si>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</si>
  <si>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</si>
  <si>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</si>
  <si>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</si>
  <si>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</si>
  <si>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</si>
  <si>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</si>
  <si>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</si>
  <si>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</si>
  <si>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</si>
  <si>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</si>
  <si>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</si>
  <si>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</si>
  <si>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</si>
  <si>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</si>
  <si>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</si>
  <si>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</si>
  <si>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</si>
  <si>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</si>
  <si>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</si>
  <si>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</si>
  <si>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</si>
  <si>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</si>
  <si>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</si>
  <si>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</si>
  <si>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</si>
  <si>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</si>
  <si>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</si>
  <si>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</si>
  <si>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</si>
  <si>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</si>
  <si>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</si>
  <si>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</si>
  <si>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</si>
  <si>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</si>
  <si>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</si>
  <si>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</si>
  <si>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</si>
  <si>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</si>
  <si>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</si>
  <si>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</si>
  <si>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</si>
  <si>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</si>
  <si>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</si>
  <si>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</si>
  <si>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</si>
  <si>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</si>
  <si>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</si>
  <si>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</si>
  <si>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</si>
  <si>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</si>
  <si>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</si>
  <si>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</si>
  <si>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</si>
  <si>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</si>
  <si>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</si>
  <si>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</si>
  <si>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</si>
  <si>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</si>
  <si>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</si>
  <si>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</si>
  <si>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</si>
  <si>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</si>
  <si>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</si>
  <si>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</si>
  <si>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</si>
  <si>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</si>
  <si>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</si>
  <si>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</si>
  <si>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</si>
  <si>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</si>
  <si>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</si>
  <si>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</si>
  <si>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</si>
  <si>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</si>
  <si>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</si>
  <si>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</si>
  <si>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</si>
  <si>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</si>
  <si>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</si>
  <si>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</si>
  <si>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</si>
  <si>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</si>
  <si>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</si>
  <si>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</si>
  <si>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</si>
  <si>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</si>
  <si>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</si>
  <si>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</si>
  <si>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</si>
  <si>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</si>
  <si>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</si>
  <si>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</si>
  <si>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</si>
  <si>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</si>
  <si>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</si>
  <si>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</si>
  <si>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</si>
  <si>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</si>
  <si>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</si>
  <si>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</si>
  <si>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</si>
  <si>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</si>
  <si>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</si>
  <si>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</si>
  <si>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</si>
  <si>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</si>
  <si>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</si>
  <si>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</si>
  <si>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</si>
  <si>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</si>
  <si>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</si>
  <si>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</si>
  <si>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</si>
  <si>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</si>
  <si>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</si>
  <si>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</si>
  <si>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</si>
  <si>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</si>
  <si>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</si>
  <si>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</si>
  <si>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</si>
  <si>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</si>
  <si>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</si>
  <si>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</si>
  <si>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</si>
  <si>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</si>
  <si>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</si>
  <si>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</si>
  <si>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</si>
  <si>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</si>
  <si>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</si>
  <si>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</si>
  <si>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</si>
  <si>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</si>
  <si>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</si>
  <si>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</si>
  <si>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</si>
  <si>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</si>
  <si>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</si>
  <si>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</si>
  <si>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</si>
  <si>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</si>
  <si>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</si>
  <si>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</si>
  <si>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</si>
  <si>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</si>
  <si>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</si>
  <si>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</si>
  <si>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</si>
  <si>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</si>
  <si>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</si>
  <si>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</si>
  <si>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</si>
  <si>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</si>
  <si>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</si>
  <si>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</si>
  <si>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</si>
  <si>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</si>
  <si>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</si>
  <si>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</si>
  <si>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</si>
  <si>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</si>
  <si>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</si>
  <si>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</si>
  <si>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</si>
  <si>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</si>
  <si>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</si>
  <si>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</si>
  <si>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</si>
  <si>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</si>
  <si>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</si>
  <si>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</si>
  <si>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</si>
  <si>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</si>
  <si>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</si>
  <si>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</si>
  <si>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</si>
  <si>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</si>
  <si>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</si>
  <si>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</si>
  <si>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</si>
  <si>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</si>
  <si>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</si>
  <si>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</si>
  <si>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</si>
  <si>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</si>
  <si>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</si>
  <si>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</si>
  <si>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</si>
  <si>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</si>
  <si>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</si>
  <si>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</si>
  <si>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</si>
  <si>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</si>
  <si>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</si>
  <si>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</si>
  <si>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</si>
  <si>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</si>
  <si>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</si>
  <si>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</si>
  <si>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</si>
  <si>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</si>
  <si>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</si>
  <si>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</si>
  <si>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</si>
  <si>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</si>
  <si>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</si>
  <si>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</si>
  <si>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</si>
  <si>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</si>
  <si>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</si>
  <si>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</si>
  <si>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</si>
  <si>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</si>
  <si>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</si>
  <si>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</si>
  <si>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</si>
  <si>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</si>
  <si>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</si>
  <si>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</si>
  <si>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</si>
  <si>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</si>
  <si>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</si>
  <si>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</si>
  <si>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</si>
  <si>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</si>
  <si>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</si>
  <si>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</si>
  <si>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</si>
  <si>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</si>
  <si>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</si>
  <si>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</si>
  <si>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</si>
  <si>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</si>
  <si>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</si>
  <si>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</si>
  <si>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</si>
  <si>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</si>
  <si>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</si>
  <si>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</si>
  <si>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</si>
  <si>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</si>
  <si>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</si>
  <si>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</si>
  <si>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</si>
  <si>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</si>
  <si>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</si>
  <si>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</si>
  <si>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</si>
  <si>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</si>
  <si>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</si>
  <si>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</si>
  <si>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</si>
  <si>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</si>
  <si>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</si>
  <si>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</si>
  <si>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</si>
  <si>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</si>
  <si>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</si>
  <si>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</si>
  <si>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</si>
  <si>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</si>
  <si>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</si>
  <si>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</si>
  <si>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</si>
  <si>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</si>
  <si>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</si>
  <si>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</si>
  <si>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</si>
  <si>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</si>
  <si>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</si>
  <si>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</si>
  <si>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</si>
  <si>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</si>
  <si>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</si>
  <si>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</si>
  <si>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</si>
  <si>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</si>
  <si>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</si>
  <si>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</si>
  <si>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</si>
  <si>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</si>
  <si>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</si>
  <si>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</si>
  <si>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</si>
  <si>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</si>
  <si>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</si>
  <si>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</si>
  <si>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</si>
  <si>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</si>
  <si>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</si>
  <si>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</si>
  <si>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</si>
  <si>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</si>
  <si>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</si>
  <si>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</si>
  <si>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</si>
  <si>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</si>
  <si>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</si>
  <si>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</si>
  <si>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</si>
  <si>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</si>
  <si>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</si>
  <si>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</si>
  <si>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</si>
  <si>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</si>
  <si>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</si>
  <si>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</si>
  <si>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</si>
  <si>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</si>
  <si>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</si>
  <si>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</si>
  <si>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</si>
  <si>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</si>
  <si>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</si>
  <si>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</si>
  <si>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</si>
  <si>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</si>
  <si>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</si>
  <si>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</si>
  <si>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</si>
  <si>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</si>
  <si>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</si>
  <si>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</si>
  <si>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</si>
  <si>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</si>
  <si>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</si>
  <si>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</si>
  <si>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</si>
  <si>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</si>
  <si>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</si>
  <si>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</si>
  <si>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</si>
  <si>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</si>
  <si>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</si>
  <si>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</si>
  <si>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</si>
  <si>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</si>
  <si>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</si>
  <si>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</si>
  <si>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</si>
  <si>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</si>
  <si>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</si>
  <si>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</si>
  <si>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</si>
  <si>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</si>
  <si>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</si>
  <si>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</si>
  <si>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</si>
  <si>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</si>
  <si>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</si>
  <si>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</si>
  <si>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</si>
  <si>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</si>
  <si>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</si>
  <si>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</si>
  <si>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</si>
  <si>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</si>
  <si>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</si>
  <si>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</si>
  <si>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</si>
  <si>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</si>
  <si>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</si>
  <si>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</si>
  <si>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</si>
  <si>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</si>
  <si>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</si>
  <si>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</si>
  <si>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</si>
  <si>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</si>
  <si>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</si>
  <si>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</si>
  <si>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</si>
  <si>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</si>
  <si>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</si>
  <si>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</si>
  <si>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</si>
  <si>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</si>
  <si>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</si>
  <si>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</si>
  <si>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</si>
  <si>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</si>
  <si>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</si>
  <si>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</si>
  <si>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</si>
  <si>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</si>
  <si>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</si>
  <si>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</si>
  <si>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</si>
  <si>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</si>
  <si>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</si>
  <si>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</si>
  <si>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</si>
  <si>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</si>
  <si>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</si>
  <si>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</si>
  <si>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</si>
  <si>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</si>
  <si>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</si>
  <si>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</si>
  <si>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</si>
  <si>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</si>
  <si>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</si>
  <si>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</si>
  <si>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</si>
  <si>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</si>
  <si>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</si>
  <si>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</si>
  <si>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</si>
  <si>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</si>
  <si>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</si>
  <si>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</si>
  <si>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</si>
  <si>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</si>
  <si>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</si>
  <si>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</si>
  <si>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</si>
  <si>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</si>
  <si>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</si>
  <si>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</si>
  <si>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</si>
  <si>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</si>
  <si>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</si>
  <si>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</si>
  <si>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</si>
  <si>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</si>
  <si>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</si>
  <si>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</si>
  <si>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</si>
  <si>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</si>
  <si>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</si>
  <si>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</si>
  <si>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</si>
  <si>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</si>
  <si>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</si>
  <si>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</si>
  <si>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</si>
  <si>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</si>
  <si>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</si>
  <si>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</si>
  <si>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</si>
  <si>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</si>
  <si>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</si>
  <si>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</si>
  <si>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</si>
  <si>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</si>
  <si>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</si>
  <si>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</si>
  <si>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</si>
  <si>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</si>
  <si>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</si>
  <si>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</si>
  <si>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</si>
  <si>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</si>
  <si>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</si>
  <si>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</si>
  <si>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</si>
  <si>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</si>
  <si>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</si>
  <si>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</si>
  <si>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</si>
  <si>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</si>
  <si>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</si>
  <si>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</si>
  <si>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</si>
  <si>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</si>
  <si>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</si>
  <si>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</si>
  <si>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</si>
  <si>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</si>
  <si>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</si>
  <si>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</si>
  <si>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</si>
  <si>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</si>
  <si>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</si>
  <si>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</si>
  <si>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</si>
  <si>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</si>
  <si>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</si>
  <si>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</si>
  <si>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</si>
  <si>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</si>
  <si>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</si>
  <si>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</si>
  <si>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</si>
  <si>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</si>
  <si>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</si>
  <si>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</si>
  <si>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</si>
  <si>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</si>
  <si>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</si>
  <si>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</si>
  <si>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</si>
  <si>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</si>
  <si>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</si>
  <si>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</si>
  <si>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</si>
  <si>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</si>
  <si>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</si>
  <si>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</si>
  <si>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</si>
  <si>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</si>
  <si>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</si>
  <si>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</si>
  <si>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</si>
  <si>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</si>
  <si>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</si>
  <si>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</si>
  <si>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</si>
  <si>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</si>
  <si>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</si>
  <si>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</si>
  <si>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</si>
  <si>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</si>
  <si>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</si>
  <si>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</si>
  <si>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</si>
  <si>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</si>
  <si>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</si>
  <si>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</si>
  <si>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</si>
  <si>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</si>
  <si>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</si>
  <si>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</si>
  <si>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</si>
  <si>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</si>
  <si>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</si>
  <si>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</si>
  <si>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</si>
  <si>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</si>
  <si>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</si>
  <si>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</si>
  <si>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</si>
  <si>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</si>
  <si>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</si>
  <si>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</si>
  <si>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</si>
  <si>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</si>
  <si>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</si>
  <si>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</si>
  <si>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</si>
  <si>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</si>
  <si>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</si>
  <si>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</si>
  <si>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</si>
  <si>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</si>
  <si>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</si>
  <si>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</si>
  <si>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</si>
  <si>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</si>
  <si>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</si>
  <si>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</si>
  <si>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</si>
  <si>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</si>
  <si>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</si>
  <si>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</si>
  <si>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</si>
  <si>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</si>
  <si>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</si>
  <si>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</si>
  <si>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</si>
  <si>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</si>
  <si>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</si>
  <si>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</si>
  <si>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</si>
  <si>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</si>
  <si>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</si>
  <si>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</si>
  <si>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</si>
  <si>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</si>
  <si>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</si>
  <si>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</si>
  <si>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</si>
  <si>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</si>
  <si>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</si>
  <si>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</si>
  <si>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</si>
  <si>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</si>
  <si>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</si>
  <si>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</si>
  <si>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</si>
  <si>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</si>
  <si>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</si>
  <si>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</si>
  <si>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</si>
  <si>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</si>
  <si>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</si>
  <si>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</si>
  <si>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</si>
  <si>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</si>
  <si>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</si>
  <si>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</si>
  <si>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</si>
  <si>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</si>
  <si>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</si>
  <si>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</si>
  <si>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</si>
  <si>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</si>
  <si>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</si>
  <si>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</si>
  <si>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</si>
  <si>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</si>
  <si>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</si>
  <si>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</si>
  <si>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</si>
  <si>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</si>
  <si>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</si>
  <si>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</si>
  <si>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</si>
  <si>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</si>
  <si>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</si>
  <si>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</si>
  <si>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</si>
  <si>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</si>
  <si>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</si>
  <si>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</si>
  <si>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</si>
  <si>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</si>
  <si>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</si>
  <si>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</si>
  <si>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</si>
  <si>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</si>
  <si>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</si>
  <si>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</si>
  <si>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</si>
  <si>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</si>
  <si>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</si>
  <si>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</si>
  <si>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</si>
  <si>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</si>
  <si>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</si>
  <si>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</si>
  <si>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</si>
  <si>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</si>
  <si>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</si>
  <si>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</si>
  <si>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</si>
  <si>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</si>
  <si>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</si>
  <si>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</si>
  <si>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</si>
  <si>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</si>
  <si>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</si>
  <si>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</si>
  <si>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</si>
  <si>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</si>
  <si>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</si>
  <si>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</si>
  <si>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</si>
  <si>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</si>
  <si>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</si>
  <si>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</si>
  <si>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</si>
  <si>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</si>
  <si>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</si>
  <si>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</si>
  <si>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</si>
  <si>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</si>
  <si>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</si>
  <si>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</si>
  <si>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</si>
  <si>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</si>
  <si>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</si>
  <si>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</si>
  <si>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</si>
  <si>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</si>
  <si>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</si>
  <si>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</si>
  <si>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</si>
  <si>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</si>
  <si>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</si>
  <si>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</si>
  <si>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</si>
  <si>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</si>
  <si>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</si>
  <si>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</si>
  <si>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</si>
  <si>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</si>
  <si>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</si>
  <si>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</si>
  <si>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</si>
  <si>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</si>
  <si>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</si>
  <si>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</si>
  <si>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</si>
  <si>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</si>
  <si>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</si>
  <si>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</si>
  <si>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</si>
  <si>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</si>
  <si>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</si>
  <si>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</si>
  <si>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</si>
  <si>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</si>
  <si>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</si>
  <si>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</si>
  <si>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</si>
  <si>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</si>
  <si>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</si>
  <si>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</si>
  <si>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</si>
  <si>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</si>
  <si>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</si>
  <si>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</si>
  <si>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</si>
  <si>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</si>
  <si>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</si>
  <si>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</si>
  <si>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</si>
  <si>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</si>
  <si>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</si>
  <si>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</si>
  <si>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</si>
  <si>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</si>
  <si>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</si>
  <si>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</si>
  <si>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</si>
  <si>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</si>
  <si>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</si>
  <si>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</si>
  <si>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</si>
  <si>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</si>
  <si>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</si>
  <si>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</si>
  <si>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</si>
  <si>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</si>
  <si>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</si>
  <si>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</si>
  <si>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</si>
  <si>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</si>
  <si>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</si>
  <si>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</si>
  <si>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</si>
  <si>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</si>
  <si>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</si>
  <si>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</si>
  <si>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</si>
  <si>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</si>
  <si>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</si>
  <si>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</si>
  <si>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</si>
  <si>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</si>
  <si>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</si>
  <si>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</si>
  <si>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</si>
  <si>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</si>
  <si>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</si>
  <si>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</si>
  <si>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</si>
  <si>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</si>
  <si>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</si>
  <si>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</si>
  <si>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</si>
  <si>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</si>
  <si>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</si>
  <si>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</si>
  <si>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</si>
  <si>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</si>
  <si>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</si>
  <si>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</si>
  <si>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</si>
  <si>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</si>
  <si>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</si>
  <si>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</si>
  <si>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</si>
  <si>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</si>
  <si>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</si>
  <si>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</si>
  <si>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</si>
  <si>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</si>
  <si>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</si>
  <si>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</si>
  <si>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</si>
  <si>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</si>
  <si>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</si>
  <si>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</si>
  <si>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</si>
  <si>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</si>
  <si>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</si>
  <si>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</si>
  <si>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</si>
  <si>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</si>
  <si>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</si>
  <si>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</si>
  <si>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</si>
  <si>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</si>
  <si>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</si>
  <si>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</si>
  <si>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</si>
  <si>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</si>
  <si>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</si>
  <si>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</si>
  <si>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</si>
  <si>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</si>
  <si>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</si>
  <si>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</si>
  <si>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</si>
  <si>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</si>
  <si>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</si>
  <si>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</si>
  <si>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</si>
  <si>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</si>
  <si>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</si>
  <si>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</si>
  <si>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</si>
  <si>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</si>
  <si>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</si>
  <si>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</si>
  <si>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</si>
  <si>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</si>
  <si>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</si>
  <si>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</si>
  <si>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</si>
  <si>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</si>
  <si>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</si>
  <si>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</si>
  <si>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</si>
  <si>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</si>
  <si>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</si>
  <si>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</si>
  <si>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</si>
  <si>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</si>
  <si>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</si>
  <si>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</si>
  <si>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</si>
  <si>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</si>
  <si>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</si>
  <si>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</si>
  <si>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</si>
  <si>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</si>
  <si>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</si>
  <si>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</si>
  <si>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</si>
  <si>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</si>
  <si>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</si>
  <si>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</si>
  <si>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</si>
  <si>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</si>
  <si>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</si>
  <si>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</si>
  <si>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</si>
  <si>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</si>
  <si>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</si>
  <si>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</si>
  <si>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</si>
  <si>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</si>
  <si>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</si>
  <si>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</si>
  <si>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</si>
  <si>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</si>
  <si>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</si>
  <si>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</si>
  <si>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</si>
  <si>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</si>
  <si>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</si>
  <si>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</si>
  <si>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</si>
  <si>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</si>
  <si>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</si>
  <si>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</si>
  <si>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</si>
  <si>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</si>
  <si>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</si>
  <si>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</si>
  <si>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</si>
  <si>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</si>
  <si>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</si>
  <si>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</si>
  <si>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</si>
  <si>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</si>
  <si>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</si>
  <si>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</si>
  <si>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</si>
  <si>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</si>
  <si>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</si>
  <si>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</si>
  <si>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</si>
  <si>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</si>
  <si>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</si>
  <si>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</si>
  <si>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</si>
  <si>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</si>
  <si>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</si>
  <si>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</si>
  <si>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</si>
  <si>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</si>
  <si>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</si>
  <si>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</si>
  <si>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</si>
  <si>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</si>
  <si>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</si>
  <si>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</si>
  <si>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</si>
  <si>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</si>
  <si>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</si>
  <si>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</si>
  <si>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</si>
  <si>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</si>
  <si>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</si>
  <si>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</si>
  <si>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</si>
  <si>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</si>
  <si>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</si>
  <si>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</si>
  <si>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</si>
  <si>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</si>
  <si>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</si>
  <si>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</si>
  <si>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</si>
  <si>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</si>
  <si>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</si>
  <si>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</si>
  <si>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</si>
  <si>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</si>
  <si>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</si>
  <si>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</si>
  <si>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</si>
  <si>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</si>
  <si>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</si>
  <si>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</si>
  <si>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</si>
  <si>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</si>
  <si>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</si>
  <si>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</si>
  <si>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</si>
  <si>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</si>
  <si>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</si>
  <si>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</si>
  <si>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</si>
  <si>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</si>
  <si>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</si>
  <si>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</si>
  <si>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</si>
  <si>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</si>
  <si>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</si>
  <si>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</si>
  <si>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</si>
  <si>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</si>
  <si>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</si>
  <si>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</si>
  <si>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</si>
  <si>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</si>
  <si>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</si>
  <si>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</si>
  <si>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</si>
  <si>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</si>
  <si>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</si>
  <si>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</si>
  <si>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</si>
  <si>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</si>
  <si>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</si>
  <si>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</si>
  <si>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</si>
  <si>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</si>
  <si>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</si>
  <si>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</si>
  <si>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</si>
  <si>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</si>
  <si>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</si>
  <si>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</si>
  <si>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</si>
  <si>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</si>
  <si>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</si>
  <si>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</si>
  <si>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</si>
  <si>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</si>
  <si>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</si>
  <si>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</si>
  <si>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</si>
  <si>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</si>
  <si>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</si>
  <si>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</si>
  <si>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</si>
  <si>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</si>
  <si>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</si>
  <si>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</si>
  <si>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</si>
  <si>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</si>
  <si>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</si>
  <si>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</si>
  <si>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</si>
  <si>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</si>
  <si>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</si>
  <si>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</si>
  <si>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</si>
  <si>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</si>
  <si>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</si>
  <si>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</si>
  <si>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</si>
  <si>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</si>
  <si>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</si>
  <si>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</si>
  <si>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</si>
  <si>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</si>
  <si>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</si>
  <si>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</si>
  <si>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</si>
  <si>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</si>
  <si>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</si>
  <si>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</si>
  <si>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</si>
  <si>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</si>
  <si>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</si>
  <si>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</si>
  <si>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</si>
  <si>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</si>
  <si>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</si>
  <si>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</si>
  <si>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</si>
  <si>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</si>
  <si>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</si>
  <si>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</si>
  <si>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</si>
  <si>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</si>
  <si>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</si>
  <si>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</si>
  <si>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</si>
  <si>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</si>
  <si>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</si>
  <si>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</si>
  <si>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</si>
  <si>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</si>
  <si>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</si>
  <si>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</si>
  <si>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</si>
  <si>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</si>
  <si>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</si>
  <si>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</si>
  <si>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</si>
  <si>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</si>
  <si>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</si>
  <si>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</si>
  <si>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</si>
  <si>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</si>
  <si>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</si>
  <si>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</si>
  <si>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</si>
  <si>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</si>
  <si>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</si>
  <si>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</si>
  <si>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</si>
  <si>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</si>
  <si>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</si>
  <si>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</si>
  <si>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</si>
  <si>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</si>
  <si>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</si>
  <si>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</si>
  <si>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</si>
  <si>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</si>
  <si>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</si>
  <si>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</si>
  <si>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</si>
  <si>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</si>
  <si>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</si>
  <si>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</si>
  <si>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</si>
  <si>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</si>
  <si>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</si>
  <si>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</si>
  <si>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</si>
  <si>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</si>
  <si>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</si>
  <si>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</si>
  <si>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</si>
  <si>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</si>
  <si>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</si>
  <si>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</si>
  <si>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</si>
  <si>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</si>
  <si>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</si>
  <si>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</si>
  <si>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</si>
  <si>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</si>
  <si>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</si>
  <si>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</si>
  <si>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</si>
  <si>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</si>
  <si>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</si>
  <si>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</si>
  <si>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</si>
  <si>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</si>
  <si>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</si>
  <si>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</si>
  <si>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</si>
  <si>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</si>
  <si>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</si>
  <si>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</si>
  <si>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</si>
  <si>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</si>
  <si>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</si>
  <si>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</si>
  <si>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</si>
  <si>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</si>
  <si>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</si>
  <si>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</si>
  <si>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</si>
  <si>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</si>
  <si>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</si>
  <si>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</si>
  <si>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</si>
  <si>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</si>
  <si>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</si>
  <si>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</si>
  <si>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</si>
  <si>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</si>
  <si>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</si>
  <si>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</si>
  <si>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</si>
  <si>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</si>
  <si>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</si>
  <si>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</si>
  <si>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</si>
  <si>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</si>
  <si>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</si>
  <si>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</si>
  <si>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</si>
  <si>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</si>
  <si>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</si>
  <si>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</si>
  <si>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</si>
  <si>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</si>
  <si>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</si>
  <si>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</si>
  <si>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</si>
  <si>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</si>
  <si>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</si>
  <si>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</si>
  <si>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</si>
  <si>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</si>
  <si>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</si>
  <si>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</si>
  <si>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</si>
  <si>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</si>
  <si>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</si>
  <si>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</si>
  <si>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</si>
  <si>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</si>
  <si>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</si>
  <si>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</si>
  <si>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</si>
  <si>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</si>
  <si>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</si>
  <si>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</si>
  <si>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</si>
  <si>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</si>
  <si>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</si>
  <si>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</si>
  <si>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</si>
  <si>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</si>
  <si>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</si>
  <si>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</si>
  <si>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</si>
  <si>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</si>
  <si>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</si>
  <si>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</si>
  <si>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</si>
  <si>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</si>
  <si>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</si>
  <si>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</si>
  <si>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</si>
  <si>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</si>
  <si>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</si>
  <si>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</si>
  <si>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</si>
  <si>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</si>
  <si>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</si>
  <si>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</si>
  <si>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</si>
  <si>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</si>
  <si>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</si>
  <si>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</si>
  <si>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</si>
  <si>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</si>
  <si>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</si>
  <si>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</si>
  <si>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</si>
  <si>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</si>
  <si>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</si>
  <si>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</si>
  <si>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</si>
  <si>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</si>
  <si>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</si>
  <si>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</si>
  <si>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</si>
  <si>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</si>
  <si>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</si>
  <si>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</si>
  <si>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</si>
  <si>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</si>
  <si>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</si>
  <si>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</si>
  <si>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</si>
  <si>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</si>
  <si>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</si>
  <si>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</si>
  <si>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</si>
  <si>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</si>
  <si>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</si>
  <si>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</si>
  <si>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</si>
  <si>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</si>
  <si>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</si>
  <si>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</si>
  <si>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</si>
  <si>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</si>
  <si>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</si>
  <si>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</si>
  <si>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</si>
  <si>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</si>
  <si>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</si>
  <si>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</si>
  <si>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</si>
  <si>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</si>
  <si>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</si>
  <si>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</si>
  <si>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</si>
  <si>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</si>
  <si>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</si>
  <si>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</si>
  <si>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</si>
  <si>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</si>
  <si>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</si>
  <si>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</si>
  <si>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</si>
  <si>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</si>
  <si>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</si>
  <si>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</si>
  <si>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</si>
  <si>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</si>
  <si>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</si>
  <si>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</si>
  <si>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</si>
  <si>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</si>
  <si>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</si>
  <si>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</si>
  <si>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</si>
  <si>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</si>
  <si>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</si>
  <si>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</si>
  <si>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</si>
  <si>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</si>
  <si>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</si>
  <si>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</si>
  <si>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</si>
  <si>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</si>
  <si>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</si>
  <si>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</si>
  <si>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</si>
  <si>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</si>
  <si>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</si>
  <si>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</si>
  <si>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</si>
  <si>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</si>
  <si>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</si>
  <si>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</si>
  <si>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</si>
  <si>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</si>
  <si>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</si>
  <si>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</si>
  <si>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</si>
  <si>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</si>
  <si>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</si>
  <si>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</si>
  <si>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</si>
  <si>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</si>
  <si>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</si>
  <si>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</si>
  <si>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</si>
  <si>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</si>
  <si>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</si>
  <si>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</si>
  <si>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</si>
  <si>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</si>
  <si>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</si>
  <si>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</si>
  <si>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</si>
  <si>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</si>
  <si>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</si>
  <si>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</si>
  <si>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</si>
  <si>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</si>
  <si>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</si>
  <si>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</si>
  <si>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</si>
  <si>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</si>
  <si>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</si>
  <si>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</si>
  <si>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</si>
  <si>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</si>
  <si>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</si>
  <si>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</si>
  <si>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</si>
  <si>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</si>
  <si>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</si>
  <si>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</si>
  <si>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</si>
  <si>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</si>
  <si>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</si>
  <si>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</si>
  <si>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</si>
  <si>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</si>
  <si>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</si>
  <si>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</si>
  <si>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</si>
  <si>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</si>
  <si>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</si>
  <si>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</si>
  <si>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</si>
  <si>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</si>
  <si>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</si>
  <si>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</si>
  <si>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</si>
  <si>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</si>
  <si>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</si>
  <si>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</si>
  <si>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</si>
  <si>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</si>
  <si>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</si>
  <si>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</si>
  <si>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</si>
  <si>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</si>
  <si>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</si>
  <si>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</si>
  <si>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</si>
  <si>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</si>
  <si>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</si>
  <si>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</si>
  <si>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</si>
  <si>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</si>
  <si>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</si>
  <si>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</si>
  <si>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</si>
  <si>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</si>
  <si>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</si>
  <si>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</si>
  <si>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</si>
  <si>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</si>
  <si>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</si>
  <si>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</si>
  <si>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</si>
  <si>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</si>
  <si>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</si>
  <si>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</si>
  <si>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</si>
  <si>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</si>
  <si>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</si>
  <si>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</si>
  <si>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</si>
  <si>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</si>
  <si>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</si>
  <si>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</si>
  <si>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</si>
  <si>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</si>
  <si>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</si>
  <si>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</si>
  <si>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</si>
  <si>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</si>
  <si>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</si>
  <si>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</si>
  <si>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</si>
  <si>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</si>
  <si>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</si>
  <si>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</si>
  <si>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</si>
  <si>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</si>
  <si>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</si>
  <si>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</si>
  <si>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</si>
  <si>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</si>
  <si>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</si>
  <si>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</si>
  <si>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</si>
  <si>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</si>
  <si>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</si>
  <si>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</si>
  <si>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</si>
  <si>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</si>
  <si>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</si>
  <si>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</si>
  <si>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</si>
  <si>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</si>
  <si>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</si>
  <si>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</si>
  <si>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</si>
  <si>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</si>
  <si>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</si>
  <si>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</si>
  <si>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</si>
  <si>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</si>
  <si>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</si>
  <si>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</si>
  <si>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</si>
  <si>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</si>
  <si>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</si>
  <si>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</si>
  <si>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</si>
  <si>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</si>
  <si>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</si>
  <si>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</si>
  <si>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</si>
  <si>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</si>
  <si>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</si>
  <si>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</si>
  <si>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</si>
  <si>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</si>
  <si>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</si>
  <si>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</si>
  <si>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</si>
  <si>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</si>
  <si>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</si>
  <si>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</si>
  <si>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</si>
  <si>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</si>
  <si>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</si>
  <si>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</si>
  <si>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</si>
  <si>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</si>
  <si>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</si>
  <si>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</si>
  <si>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</si>
  <si>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</si>
  <si>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</si>
  <si>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</si>
  <si>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</si>
  <si>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</si>
  <si>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</si>
  <si>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</si>
  <si>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</si>
  <si>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</si>
  <si>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</si>
  <si>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</si>
  <si>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</si>
  <si>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</si>
  <si>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</si>
  <si>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</si>
  <si>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</si>
  <si>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</si>
  <si>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</si>
  <si>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</si>
  <si>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</si>
  <si>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</si>
  <si>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</si>
  <si>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</si>
  <si>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</si>
  <si>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</si>
  <si>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</si>
  <si>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</si>
  <si>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</si>
  <si>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</si>
  <si>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</si>
  <si>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</si>
  <si>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</si>
  <si>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</si>
  <si>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</si>
  <si>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</si>
  <si>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</si>
  <si>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</si>
  <si>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</si>
  <si>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</si>
  <si>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</si>
  <si>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</si>
  <si>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</si>
  <si>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</si>
  <si>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</si>
  <si>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</si>
  <si>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</si>
  <si>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</si>
  <si>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</si>
  <si>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</si>
  <si>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</si>
  <si>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</si>
  <si>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</si>
  <si>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</si>
  <si>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</si>
  <si>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</si>
  <si>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</si>
  <si>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</si>
  <si>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</si>
  <si>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</si>
  <si>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</si>
  <si>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</si>
  <si>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</si>
  <si>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</si>
  <si>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</si>
  <si>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</si>
  <si>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</si>
  <si>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</si>
  <si>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</si>
  <si>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</si>
  <si>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</si>
  <si>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</si>
  <si>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</si>
  <si>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</si>
  <si>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</si>
  <si>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</si>
  <si>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</si>
  <si>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</si>
  <si>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</si>
  <si>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</si>
  <si>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</si>
  <si>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</si>
  <si>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</si>
  <si>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</si>
  <si>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</si>
  <si>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</si>
  <si>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</si>
  <si>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</si>
  <si>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</si>
  <si>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</si>
  <si>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</si>
  <si>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</si>
  <si>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</si>
  <si>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</si>
  <si>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</si>
  <si>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</si>
  <si>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</si>
  <si>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</si>
  <si>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</si>
  <si>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</si>
  <si>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</si>
  <si>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</si>
  <si>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</si>
  <si>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</si>
  <si>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</si>
  <si>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</si>
  <si>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</si>
  <si>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</si>
  <si>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</si>
  <si>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</si>
  <si>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</si>
  <si>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</si>
  <si>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</si>
  <si>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</si>
  <si>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</si>
  <si>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</si>
  <si>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</si>
  <si>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</si>
  <si>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</si>
  <si>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</si>
  <si>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</si>
  <si>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</si>
  <si>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</si>
  <si>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</si>
  <si>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</si>
  <si>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</si>
  <si>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</si>
  <si>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</si>
  <si>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</si>
  <si>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</si>
  <si>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</si>
  <si>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</si>
  <si>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</si>
  <si>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</si>
  <si>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</si>
  <si>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</si>
  <si>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</si>
  <si>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</si>
  <si>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</si>
  <si>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</si>
  <si>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</si>
  <si>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</si>
  <si>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</si>
  <si>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</si>
  <si>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</si>
  <si>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</si>
  <si>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</si>
  <si>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</si>
  <si>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</si>
  <si>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</si>
  <si>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</si>
  <si>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</si>
  <si>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</si>
  <si>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</si>
  <si>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</si>
  <si>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</si>
  <si>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</si>
  <si>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</si>
  <si>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</si>
  <si>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</si>
  <si>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</si>
  <si>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</si>
  <si>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</si>
  <si>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</si>
  <si>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</si>
  <si>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</si>
  <si>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</si>
  <si>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</si>
  <si>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</si>
  <si>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</si>
  <si>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</si>
  <si>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</si>
  <si>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</si>
  <si>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</si>
  <si>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</si>
  <si>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</si>
  <si>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</si>
  <si>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</si>
  <si>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</si>
  <si>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</si>
  <si>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</si>
  <si>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</si>
  <si>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</si>
  <si>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</si>
  <si>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</si>
  <si>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</si>
  <si>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</si>
  <si>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</si>
  <si>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</si>
  <si>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</si>
  <si>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</si>
  <si>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</si>
  <si>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</si>
  <si>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</si>
  <si>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</si>
  <si>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</si>
  <si>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</si>
  <si>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</si>
  <si>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</si>
  <si>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</si>
  <si>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</si>
  <si>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</si>
  <si>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</si>
  <si>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</si>
  <si>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</si>
  <si>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</si>
  <si>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</si>
  <si>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</si>
  <si>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</si>
  <si>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</si>
  <si>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</si>
  <si>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</si>
  <si>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</si>
  <si>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</si>
  <si>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</si>
  <si>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</si>
  <si>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</si>
  <si>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</si>
  <si>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</si>
  <si>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</si>
  <si>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</si>
  <si>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</si>
  <si>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</si>
  <si>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</si>
  <si>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</si>
  <si>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</si>
  <si>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</si>
  <si>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</si>
  <si>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</si>
  <si>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</si>
  <si>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</si>
  <si>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</si>
  <si>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</si>
  <si>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</si>
  <si>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</si>
  <si>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</si>
  <si>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</si>
  <si>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</si>
  <si>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</si>
  <si>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</si>
  <si>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</si>
  <si>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</si>
  <si>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</si>
  <si>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</si>
  <si>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</si>
  <si>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</si>
  <si>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</si>
  <si>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</si>
  <si>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</si>
  <si>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</si>
  <si>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</si>
  <si>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</si>
  <si>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</si>
  <si>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</si>
  <si>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</si>
  <si>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</si>
  <si>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</si>
  <si>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</si>
  <si>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</si>
  <si>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</si>
  <si>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</si>
  <si>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</si>
  <si>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</si>
  <si>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</si>
  <si>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</si>
  <si>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</si>
  <si>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</si>
  <si>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</si>
  <si>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</si>
  <si>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</si>
  <si>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</si>
  <si>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</si>
  <si>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</si>
  <si>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</si>
  <si>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</si>
  <si>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</si>
  <si>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</si>
  <si>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</si>
  <si>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</si>
  <si>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</si>
  <si>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</si>
  <si>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</si>
  <si>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</si>
  <si>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</si>
  <si>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</si>
  <si>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</si>
  <si>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</si>
  <si>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</si>
  <si>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</si>
  <si>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</si>
  <si>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</si>
  <si>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</si>
  <si>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</si>
  <si>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</si>
  <si>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</si>
  <si>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</si>
  <si>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</si>
  <si>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</si>
  <si>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</si>
  <si>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</si>
  <si>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</si>
  <si>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</si>
  <si>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</si>
  <si>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</si>
  <si>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</si>
  <si>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</si>
  <si>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</si>
  <si>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</si>
  <si>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</si>
  <si>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</si>
  <si>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</si>
  <si>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</si>
  <si>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</si>
  <si>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</si>
  <si>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</si>
  <si>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</si>
  <si>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</si>
  <si>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</si>
  <si>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</si>
  <si>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</si>
  <si>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</si>
  <si>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</si>
  <si>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</si>
  <si>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</si>
  <si>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</si>
  <si>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</si>
  <si>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</si>
  <si>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</si>
  <si>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</si>
  <si>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</si>
  <si>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</si>
  <si>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</si>
  <si>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</si>
  <si>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</si>
  <si>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</si>
  <si>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</si>
  <si>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</si>
  <si>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</si>
  <si>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</si>
  <si>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</si>
  <si>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</si>
  <si>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</si>
  <si>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</si>
  <si>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</si>
  <si>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</si>
  <si>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</si>
  <si>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</si>
  <si>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</si>
  <si>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</si>
  <si>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</si>
  <si>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</si>
  <si>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</si>
  <si>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</si>
  <si>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</si>
  <si>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</si>
  <si>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</si>
  <si>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</si>
  <si>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</si>
  <si>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</si>
  <si>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</si>
  <si>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</si>
  <si>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</si>
  <si>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</si>
  <si>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</si>
  <si>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</si>
  <si>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</si>
  <si>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</si>
  <si>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</si>
  <si>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</si>
  <si>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</si>
  <si>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</si>
  <si>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</si>
  <si>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</si>
  <si>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</si>
  <si>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</si>
  <si>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</si>
  <si>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</si>
  <si>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</si>
  <si>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</si>
  <si>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</si>
  <si>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</si>
  <si>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</si>
  <si>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</si>
  <si>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</si>
  <si>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</si>
  <si>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</si>
  <si>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</si>
  <si>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</si>
  <si>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</si>
  <si>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</si>
  <si>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</si>
  <si>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</si>
  <si>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</si>
  <si>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</si>
  <si>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</si>
  <si>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</si>
  <si>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</si>
  <si>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</si>
  <si>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</si>
  <si>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</si>
  <si>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</si>
  <si>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</si>
  <si>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</si>
  <si>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</si>
  <si>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</si>
  <si>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</si>
  <si>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</si>
  <si>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</si>
  <si>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</si>
  <si>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</si>
  <si>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</si>
  <si>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</si>
  <si>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</si>
  <si>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</si>
  <si>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</si>
  <si>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</si>
  <si>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</si>
  <si>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</si>
  <si>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</si>
  <si>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</si>
  <si>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</si>
  <si>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</si>
  <si>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</si>
  <si>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</si>
  <si>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</si>
  <si>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</si>
  <si>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</si>
  <si>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</si>
  <si>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</si>
  <si>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</si>
  <si>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</si>
  <si>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</si>
  <si>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</si>
  <si>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</si>
  <si>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</si>
  <si>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</si>
  <si>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</si>
  <si>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</si>
  <si>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</si>
  <si>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</si>
  <si>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</si>
  <si>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</si>
  <si>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</si>
  <si>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</si>
  <si>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</si>
  <si>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</si>
  <si>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</si>
  <si>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</si>
  <si>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</si>
  <si>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</si>
  <si>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</si>
  <si>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</si>
  <si>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</si>
  <si>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</si>
  <si>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</si>
  <si>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</si>
  <si>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</si>
  <si>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</si>
  <si>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</si>
  <si>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</si>
  <si>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</si>
  <si>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</si>
  <si>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</si>
  <si>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</si>
  <si>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</si>
  <si>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</si>
  <si>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</si>
  <si>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</si>
  <si>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</si>
  <si>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</si>
  <si>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</si>
  <si>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</si>
  <si>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</si>
  <si>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</si>
  <si>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</si>
  <si>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</si>
  <si>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</si>
  <si>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</si>
  <si>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</si>
  <si>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</si>
  <si>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</si>
  <si>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</si>
  <si>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</si>
  <si>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</si>
  <si>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</si>
  <si>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</si>
  <si>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</si>
  <si>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</si>
  <si>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</si>
  <si>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</si>
  <si>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</si>
  <si>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</si>
  <si>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</si>
  <si>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</si>
  <si>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</si>
  <si>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</si>
  <si>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</si>
  <si>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</si>
  <si>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</si>
  <si>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</si>
  <si>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</si>
  <si>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</si>
  <si>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</si>
  <si>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</si>
  <si>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</si>
  <si>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</si>
  <si>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</si>
  <si>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</si>
  <si>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</si>
  <si>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</si>
  <si>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</si>
  <si>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</si>
  <si>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</si>
  <si>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</si>
  <si>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</si>
  <si>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</si>
  <si>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</si>
  <si>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</si>
  <si>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</si>
  <si>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</si>
  <si>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</si>
  <si>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</si>
  <si>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</si>
  <si>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</si>
  <si>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</si>
  <si>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</si>
  <si>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</si>
  <si>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</si>
  <si>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</si>
  <si>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</si>
  <si>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</si>
  <si>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</si>
  <si>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</si>
  <si>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</si>
  <si>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</si>
  <si>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</si>
  <si>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</si>
  <si>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</si>
  <si>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</si>
  <si>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</si>
  <si>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</si>
  <si>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</si>
  <si>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</si>
  <si>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</si>
  <si>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</si>
  <si>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</si>
  <si>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</si>
  <si>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</si>
  <si>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</si>
  <si>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</si>
  <si>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</si>
  <si>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</si>
  <si>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</si>
  <si>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</si>
  <si>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</si>
  <si>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</si>
  <si>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</si>
  <si>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</si>
  <si>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</si>
  <si>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</si>
  <si>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</si>
  <si>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</si>
  <si>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</si>
  <si>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</si>
  <si>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</si>
  <si>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</si>
  <si>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</si>
  <si>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</si>
  <si>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</si>
  <si>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</si>
  <si>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</si>
  <si>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</si>
  <si>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</si>
  <si>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</si>
  <si>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</si>
  <si>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</si>
  <si>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</si>
  <si>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</si>
  <si>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</si>
  <si>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</si>
  <si>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</si>
  <si>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</si>
  <si>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</si>
  <si>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</si>
  <si>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</si>
  <si>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</si>
  <si>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</si>
  <si>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</si>
  <si>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</si>
  <si>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</si>
  <si>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</si>
  <si>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</si>
  <si>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</si>
  <si>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</si>
  <si>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</si>
  <si>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</si>
  <si>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</si>
  <si>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</si>
  <si>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</si>
  <si>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</si>
  <si>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</si>
  <si>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</si>
  <si>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</si>
  <si>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</si>
  <si>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</si>
  <si>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</si>
  <si>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</si>
  <si>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</si>
  <si>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</si>
  <si>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</si>
  <si>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</si>
  <si>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</si>
  <si>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</si>
  <si>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</si>
  <si>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</si>
  <si>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</si>
  <si>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</si>
  <si>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</si>
  <si>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</si>
  <si>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</si>
  <si>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</si>
  <si>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</si>
  <si>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</si>
  <si>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</si>
  <si>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</si>
  <si>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</si>
  <si>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</si>
  <si>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</si>
  <si>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</si>
  <si>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</si>
  <si>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</si>
  <si>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</si>
  <si>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</si>
  <si>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</si>
  <si>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</si>
  <si>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</si>
  <si>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</si>
  <si>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</si>
  <si>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</si>
  <si>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</si>
  <si>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</si>
  <si>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</si>
  <si>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</si>
  <si>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</si>
  <si>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</si>
  <si>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</si>
  <si>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</si>
  <si>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</si>
  <si>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</si>
  <si>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</si>
  <si>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</si>
  <si>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</si>
  <si>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</si>
  <si>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</si>
  <si>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</si>
  <si>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</si>
  <si>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</si>
  <si>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</si>
  <si>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</si>
  <si>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</si>
  <si>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</si>
  <si>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</si>
  <si>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</si>
  <si>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</si>
  <si>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</si>
  <si>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</si>
  <si>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</si>
  <si>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</si>
  <si>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</si>
  <si>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</si>
  <si>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</si>
  <si>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</si>
  <si>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</si>
  <si>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</si>
  <si>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</si>
  <si>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</si>
  <si>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</si>
  <si>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</si>
  <si>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</si>
  <si>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</si>
  <si>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</si>
  <si>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</si>
  <si>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</si>
  <si>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</si>
  <si>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</si>
  <si>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</si>
  <si>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</si>
  <si>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</si>
  <si>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</si>
  <si>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</si>
  <si>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</si>
  <si>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</si>
  <si>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</si>
  <si>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</si>
  <si>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</si>
  <si>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</si>
  <si>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</si>
  <si>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</si>
  <si>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</si>
  <si>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</si>
  <si>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</si>
  <si>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</si>
  <si>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</si>
  <si>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</si>
  <si>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</si>
  <si>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</si>
  <si>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</si>
  <si>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</si>
  <si>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</si>
  <si>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</si>
  <si>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</si>
  <si>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</si>
  <si>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</si>
  <si>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</si>
  <si>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</si>
  <si>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</si>
  <si>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</si>
  <si>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</si>
  <si>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</si>
  <si>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</si>
  <si>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</si>
  <si>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</si>
  <si>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</si>
  <si>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</si>
  <si>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</si>
  <si>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</si>
  <si>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</si>
  <si>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</si>
  <si>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</si>
  <si>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</si>
  <si>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</si>
  <si>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</si>
  <si>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</si>
  <si>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</si>
  <si>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</si>
  <si>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</si>
  <si>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</si>
  <si>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</si>
  <si>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</si>
  <si>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</si>
  <si>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</si>
  <si>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</si>
  <si>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</si>
  <si>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</si>
  <si>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</si>
  <si>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</si>
  <si>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</si>
  <si>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</si>
  <si>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</si>
  <si>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</si>
  <si>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</si>
  <si>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</si>
  <si>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</si>
  <si>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</si>
  <si>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</si>
  <si>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</si>
  <si>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</si>
  <si>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</si>
  <si>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</si>
  <si>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</si>
  <si>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</si>
  <si>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</si>
  <si>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</si>
  <si>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</si>
  <si>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</si>
  <si>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</si>
  <si>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</si>
  <si>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</si>
  <si>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</si>
  <si>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</si>
  <si>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</si>
  <si>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</si>
  <si>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</si>
  <si>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</si>
  <si>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</si>
  <si>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</si>
  <si>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</si>
  <si>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</si>
  <si>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</si>
  <si>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</si>
  <si>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</si>
  <si>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</si>
  <si>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</si>
  <si>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</si>
  <si>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</si>
  <si>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</si>
  <si>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</si>
  <si>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</si>
  <si>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</si>
  <si>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</si>
  <si>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</si>
  <si>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</si>
  <si>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</si>
  <si>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</si>
  <si>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</si>
  <si>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</si>
  <si>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</si>
  <si>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</si>
  <si>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</si>
  <si>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</si>
  <si>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</si>
  <si>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</si>
  <si>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</si>
  <si>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</si>
  <si>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</si>
  <si>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</si>
  <si>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</si>
  <si>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</si>
  <si>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</si>
  <si>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</si>
  <si>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</si>
  <si>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</si>
  <si>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</si>
  <si>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</si>
  <si>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</si>
  <si>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</si>
  <si>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</si>
  <si>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</si>
  <si>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</si>
  <si>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</si>
  <si>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</si>
  <si>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</si>
  <si>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</si>
  <si>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</si>
  <si>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</si>
  <si>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</si>
  <si>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</si>
  <si>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</si>
  <si>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</si>
  <si>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</si>
  <si>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</si>
  <si>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</si>
  <si>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</si>
  <si>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</si>
  <si>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</si>
  <si>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</si>
  <si>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</si>
  <si>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</si>
  <si>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</si>
  <si>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</si>
  <si>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</si>
  <si>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</si>
  <si>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</si>
  <si>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</si>
  <si>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</si>
  <si>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</si>
  <si>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</si>
  <si>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</si>
  <si>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</si>
  <si>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</si>
  <si>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</si>
  <si>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</si>
  <si>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</si>
  <si>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</si>
  <si>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</si>
  <si>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</si>
  <si>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</si>
  <si>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</si>
  <si>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</si>
  <si>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</si>
  <si>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</si>
  <si>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</si>
  <si>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</si>
  <si>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</si>
  <si>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</si>
  <si>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</si>
  <si>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</si>
  <si>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</si>
  <si>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</si>
  <si>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</si>
  <si>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</si>
  <si>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</si>
  <si>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</si>
  <si>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</si>
  <si>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</si>
  <si>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</si>
  <si>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</si>
  <si>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</si>
  <si>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</si>
  <si>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</si>
  <si>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</si>
  <si>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</si>
  <si>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</si>
  <si>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</si>
  <si>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</si>
  <si>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</si>
  <si>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</si>
  <si>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</si>
  <si>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</si>
  <si>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</si>
  <si>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</si>
  <si>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</si>
  <si>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</si>
  <si>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</si>
  <si>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</si>
  <si>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</si>
  <si>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</si>
  <si>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</si>
  <si>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</si>
  <si>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</si>
  <si>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</si>
  <si>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</si>
  <si>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</si>
  <si>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</si>
  <si>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</si>
  <si>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</si>
  <si>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</si>
  <si>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</si>
  <si>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</si>
  <si>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</si>
  <si>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</si>
  <si>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</si>
  <si>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</si>
  <si>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</si>
  <si>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</si>
  <si>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</si>
  <si>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</si>
  <si>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</si>
  <si>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</si>
  <si>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</si>
  <si>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</si>
  <si>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</si>
  <si>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</si>
  <si>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</si>
  <si>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</si>
  <si>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</si>
  <si>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</si>
  <si>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</si>
  <si>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</si>
  <si>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</si>
  <si>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</si>
  <si>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</si>
  <si>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</si>
  <si>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</si>
  <si>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</si>
  <si>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</si>
  <si>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</si>
  <si>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</si>
  <si>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</si>
  <si>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</si>
  <si>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</si>
  <si>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</si>
  <si>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</si>
  <si>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</si>
  <si>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</si>
  <si>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</si>
  <si>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</si>
  <si>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</si>
  <si>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</si>
  <si>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</si>
  <si>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</si>
  <si>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</si>
  <si>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</si>
  <si>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</si>
  <si>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</si>
  <si>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</si>
  <si>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</si>
  <si>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</si>
  <si>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</si>
  <si>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</si>
  <si>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</si>
  <si>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</si>
  <si>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</si>
  <si>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</si>
  <si>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</si>
  <si>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</si>
  <si>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</si>
  <si>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</si>
  <si>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</si>
  <si>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</si>
  <si>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</si>
  <si>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</si>
  <si>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</si>
  <si>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</si>
  <si>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</si>
  <si>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</si>
  <si>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</si>
  <si>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</si>
  <si>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</si>
  <si>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</si>
  <si>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</si>
  <si>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</si>
  <si>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</si>
  <si>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</si>
  <si>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</si>
  <si>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</si>
  <si>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</si>
  <si>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</si>
  <si>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</si>
  <si>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</si>
  <si>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</si>
  <si>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</si>
  <si>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</si>
  <si>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</si>
  <si>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</si>
  <si>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</si>
  <si>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</si>
  <si>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</si>
  <si>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</si>
  <si>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</si>
  <si>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</si>
  <si>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</si>
  <si>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</si>
  <si>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</si>
  <si>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</si>
  <si>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</si>
  <si>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</si>
  <si>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</si>
  <si>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</si>
  <si>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</si>
  <si>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</si>
  <si>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</si>
  <si>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</si>
  <si>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</si>
  <si>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</si>
  <si>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</si>
  <si>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</si>
  <si>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</si>
  <si>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</si>
  <si>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</si>
  <si>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</si>
  <si>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</si>
  <si>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</si>
  <si>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</si>
  <si>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</si>
  <si>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</si>
  <si>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</si>
  <si>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</si>
  <si>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</si>
  <si>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</si>
  <si>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</si>
  <si>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</si>
  <si>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</si>
  <si>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</si>
  <si>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</si>
  <si>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</si>
  <si>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</si>
  <si>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</si>
  <si>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</si>
  <si>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</si>
  <si>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</si>
  <si>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</si>
  <si>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</si>
  <si>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</si>
  <si>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</si>
  <si>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</si>
  <si>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</si>
  <si>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</si>
  <si>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</si>
  <si>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</si>
  <si>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</si>
  <si>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</si>
  <si>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</si>
  <si>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</si>
  <si>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</si>
  <si>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</si>
  <si>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</si>
  <si>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</si>
  <si>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</si>
  <si>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</si>
  <si>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</si>
  <si>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</si>
  <si>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</si>
  <si>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</si>
  <si>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</si>
  <si>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</si>
  <si>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</si>
  <si>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</si>
  <si>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</si>
  <si>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</si>
  <si>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</si>
  <si>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</si>
  <si>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</si>
  <si>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</si>
  <si>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</si>
  <si>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</si>
  <si>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</si>
  <si>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</si>
  <si>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</si>
  <si>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</si>
  <si>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</si>
  <si>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</si>
  <si>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</si>
  <si>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</si>
  <si>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</si>
  <si>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</si>
  <si>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</si>
  <si>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</si>
  <si>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</si>
  <si>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</si>
  <si>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</si>
  <si>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</si>
  <si>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</si>
  <si>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</si>
  <si>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</si>
  <si>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</si>
  <si>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</si>
  <si>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</si>
  <si>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</si>
  <si>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</si>
  <si>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</si>
  <si>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</si>
  <si>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</si>
  <si>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</si>
  <si>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</si>
  <si>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</si>
  <si>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</si>
  <si>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</si>
  <si>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</si>
  <si>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</si>
  <si>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</si>
  <si>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</si>
  <si>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</si>
  <si>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</si>
  <si>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</si>
  <si>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</si>
  <si>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</si>
  <si>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</si>
  <si>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</si>
  <si>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</si>
  <si>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</si>
  <si>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</si>
  <si>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</si>
  <si>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</si>
  <si>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</si>
  <si>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</si>
  <si>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</si>
  <si>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</si>
  <si>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</si>
  <si>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</si>
  <si>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</si>
  <si>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</si>
  <si>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</si>
  <si>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</si>
  <si>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</si>
  <si>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</si>
  <si>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</si>
  <si>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</si>
  <si>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</si>
  <si>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</si>
  <si>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</si>
  <si>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</si>
  <si>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</si>
  <si>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</si>
  <si>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</si>
  <si>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</si>
  <si>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</si>
  <si>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</si>
  <si>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</si>
  <si>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</si>
  <si>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</si>
  <si>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</si>
  <si>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</si>
  <si>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</si>
  <si>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</si>
  <si>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</si>
  <si>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</si>
  <si>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</si>
  <si>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</si>
  <si>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</si>
  <si>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</si>
  <si>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</si>
  <si>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</si>
  <si>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</si>
  <si>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</si>
  <si>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</si>
  <si>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</si>
  <si>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</si>
  <si>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</si>
  <si>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</si>
  <si>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</si>
  <si>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</si>
  <si>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</si>
  <si>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</si>
  <si>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</si>
  <si>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</si>
  <si>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</si>
  <si>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</si>
  <si>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</si>
  <si>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</si>
  <si>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</si>
  <si>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</si>
  <si>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</si>
  <si>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</si>
  <si>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</si>
  <si>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</si>
  <si>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</si>
  <si>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</si>
  <si>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</si>
  <si>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</si>
  <si>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</si>
  <si>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</si>
  <si>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</si>
  <si>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</si>
  <si>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</si>
  <si>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</si>
  <si>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</si>
  <si>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</si>
  <si>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</si>
  <si>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</si>
  <si>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</si>
  <si>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</si>
  <si>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</si>
  <si>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</si>
  <si>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</si>
  <si>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</si>
  <si>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</si>
  <si>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</si>
  <si>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</si>
  <si>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</si>
  <si>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</si>
  <si>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</si>
  <si>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</si>
  <si>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</si>
  <si>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</si>
  <si>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</si>
  <si>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</si>
  <si>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</si>
  <si>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</si>
  <si>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</si>
  <si>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</si>
  <si>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</si>
  <si>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</si>
  <si>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</si>
  <si>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</si>
  <si>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</si>
  <si>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</si>
  <si>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</si>
  <si>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</si>
  <si>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</si>
  <si>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</si>
  <si>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</si>
  <si>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</si>
  <si>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</si>
  <si>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</si>
  <si>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</si>
  <si>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</si>
  <si>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</si>
  <si>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</si>
  <si>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</si>
  <si>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</si>
  <si>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</si>
  <si>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</si>
  <si>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</si>
  <si>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</si>
  <si>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</si>
  <si>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</si>
  <si>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</si>
  <si>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</si>
  <si>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</si>
  <si>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</si>
  <si>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</si>
  <si>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</si>
  <si>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</si>
  <si>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</si>
  <si>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</si>
  <si>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</si>
  <si>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</si>
  <si>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</si>
  <si>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</si>
  <si>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</si>
  <si>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</si>
  <si>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</si>
  <si>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</si>
  <si>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</si>
  <si>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</si>
  <si>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</si>
  <si>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</si>
  <si>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</si>
  <si>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</si>
  <si>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</si>
  <si>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</si>
  <si>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</si>
  <si>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</si>
  <si>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</si>
  <si>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</si>
  <si>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</si>
  <si>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</si>
  <si>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</si>
  <si>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</si>
  <si>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</si>
  <si>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</si>
  <si>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</si>
  <si>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</si>
  <si>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</si>
  <si>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</si>
  <si>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</si>
  <si>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</si>
  <si>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</si>
  <si>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</si>
  <si>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</si>
  <si>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</si>
  <si>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</si>
  <si>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</si>
  <si>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</si>
  <si>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</si>
  <si>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</si>
  <si>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</si>
  <si>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</si>
  <si>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</si>
  <si>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</si>
  <si>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</si>
  <si>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</si>
  <si>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</si>
  <si>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</si>
  <si>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</si>
  <si>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</si>
  <si>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</si>
  <si>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</si>
  <si>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</si>
  <si>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</si>
  <si>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</si>
  <si>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</si>
  <si>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</si>
  <si>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</si>
  <si>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</si>
  <si>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</si>
  <si>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</si>
  <si>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</si>
  <si>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</si>
  <si>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</si>
  <si>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</si>
  <si>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</si>
  <si>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</si>
  <si>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</si>
  <si>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</si>
  <si>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</si>
  <si>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</si>
  <si>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</si>
  <si>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</si>
  <si>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</si>
  <si>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</si>
  <si>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</si>
  <si>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</si>
  <si>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</si>
  <si>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</si>
  <si>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</si>
  <si>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</si>
  <si>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</si>
  <si>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</si>
  <si>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</si>
  <si>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</si>
  <si>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</si>
  <si>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</si>
  <si>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</si>
  <si>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</si>
  <si>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</si>
  <si>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</si>
  <si>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</si>
  <si>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</si>
  <si>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</si>
  <si>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</si>
  <si>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</si>
  <si>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</si>
  <si>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</si>
  <si>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</si>
  <si>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</si>
  <si>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</si>
  <si>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</si>
  <si>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</si>
  <si>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</si>
  <si>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</si>
  <si>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</si>
  <si>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</si>
  <si>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</si>
  <si>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</si>
  <si>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</si>
  <si>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</si>
  <si>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</si>
  <si>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</si>
  <si>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</si>
  <si>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</si>
  <si>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</si>
  <si>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</si>
  <si>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</si>
  <si>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</si>
  <si>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</si>
  <si>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</si>
  <si>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</si>
  <si>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</si>
  <si>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</si>
  <si>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</si>
  <si>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</si>
  <si>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</si>
  <si>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</si>
  <si>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</si>
  <si>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</si>
  <si>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</si>
  <si>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</si>
  <si>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</si>
  <si>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</si>
  <si>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</si>
  <si>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</si>
  <si>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</si>
  <si>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</si>
  <si>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</si>
  <si>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</si>
  <si>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</si>
  <si>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</si>
  <si>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</si>
  <si>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</si>
  <si>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</si>
  <si>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</si>
  <si>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</si>
  <si>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</si>
  <si>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</si>
  <si>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</si>
  <si>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</si>
  <si>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</si>
  <si>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</si>
  <si>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</si>
  <si>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</si>
  <si>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</si>
  <si>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</si>
  <si>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</si>
  <si>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</si>
  <si>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</si>
  <si>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</si>
  <si>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</si>
  <si>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</si>
  <si>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</si>
  <si>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</si>
  <si>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</si>
  <si>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</si>
  <si>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</si>
  <si>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</si>
  <si>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</si>
  <si>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</si>
  <si>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</si>
  <si>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</si>
  <si>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</si>
  <si>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</si>
  <si>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</si>
  <si>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</si>
  <si>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</si>
  <si>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</si>
  <si>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</si>
  <si>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</si>
  <si>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</si>
  <si>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</si>
  <si>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</si>
  <si>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</si>
  <si>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</si>
  <si>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</si>
  <si>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</si>
  <si>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</si>
  <si>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</si>
  <si>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</si>
  <si>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</si>
  <si>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</si>
  <si>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</si>
  <si>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</si>
  <si>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</si>
  <si>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</si>
  <si>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</si>
  <si>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</si>
  <si>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</si>
  <si>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</si>
  <si>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</si>
  <si>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</si>
  <si>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</si>
  <si>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</si>
  <si>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</si>
  <si>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</si>
  <si>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</si>
  <si>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</si>
  <si>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</si>
  <si>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</si>
  <si>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</si>
  <si>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</si>
  <si>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</si>
  <si>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</si>
  <si>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</si>
  <si>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</si>
  <si>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</si>
  <si>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</si>
  <si>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</si>
  <si>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</si>
  <si>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</si>
  <si>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</si>
  <si>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</si>
  <si>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</si>
  <si>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</si>
  <si>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</si>
  <si>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</si>
  <si>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</si>
  <si>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</si>
  <si>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</si>
  <si>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</si>
  <si>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</si>
  <si>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</si>
  <si>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</si>
  <si>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</si>
  <si>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</si>
  <si>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</si>
  <si>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</si>
  <si>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</si>
  <si>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</si>
  <si>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</si>
  <si>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</si>
  <si>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</si>
  <si>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</si>
  <si>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</si>
  <si>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</si>
  <si>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</si>
  <si>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</si>
  <si>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</si>
  <si>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</si>
  <si>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</si>
  <si>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</si>
  <si>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</si>
  <si>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</si>
  <si>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</si>
  <si>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</si>
  <si>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</si>
  <si>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</si>
  <si>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</si>
  <si>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</si>
  <si>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</si>
  <si>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</si>
  <si>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</si>
  <si>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</si>
  <si>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</si>
  <si>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</si>
  <si>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</si>
  <si>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</si>
  <si>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</si>
  <si>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</si>
  <si>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</si>
  <si>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</si>
  <si>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</si>
  <si>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</si>
  <si>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</si>
  <si>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</si>
  <si>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</si>
  <si>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</si>
  <si>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</si>
  <si>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</si>
  <si>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</si>
  <si>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</si>
  <si>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</si>
  <si>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</si>
  <si>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</si>
  <si>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</si>
  <si>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</si>
  <si>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</si>
  <si>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</si>
  <si>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</si>
  <si>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</si>
  <si>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</si>
  <si>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</si>
  <si>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</si>
  <si>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</si>
  <si>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</si>
  <si>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</si>
  <si>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</si>
  <si>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</si>
  <si>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</si>
  <si>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</si>
  <si>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</si>
  <si>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</si>
  <si>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</si>
  <si>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</si>
  <si>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</si>
  <si>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</si>
  <si>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</si>
  <si>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</si>
  <si>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</si>
  <si>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</si>
  <si>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</si>
  <si>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</si>
  <si>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</si>
  <si>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</si>
  <si>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</si>
  <si>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</si>
  <si>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</si>
  <si>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</si>
  <si>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</si>
  <si>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</si>
  <si>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</si>
  <si>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</si>
  <si>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</si>
  <si>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</si>
  <si>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</si>
  <si>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</si>
  <si>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</si>
  <si>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</si>
  <si>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</si>
  <si>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</si>
  <si>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</si>
  <si>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</si>
  <si>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</si>
  <si>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</si>
  <si>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</si>
  <si>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</si>
  <si>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</si>
  <si>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</si>
  <si>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</si>
  <si>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</si>
  <si>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</si>
  <si>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</si>
  <si>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</si>
  <si>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</si>
  <si>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</si>
  <si>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</si>
  <si>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</si>
  <si>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</si>
  <si>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</si>
  <si>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</si>
  <si>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</si>
  <si>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</si>
  <si>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</si>
  <si>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</si>
  <si>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</si>
  <si>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</si>
  <si>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</si>
  <si>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</si>
  <si>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</si>
  <si>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</si>
  <si>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</si>
  <si>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</si>
  <si>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</si>
  <si>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</si>
  <si>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</si>
  <si>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</si>
  <si>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</si>
  <si>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</si>
  <si>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</si>
  <si>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</si>
  <si>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</si>
  <si>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</si>
  <si>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</si>
  <si>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</si>
  <si>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</si>
  <si>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</si>
  <si>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</si>
  <si>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</si>
  <si>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</si>
  <si>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</si>
  <si>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</si>
  <si>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</si>
  <si>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</si>
  <si>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</si>
  <si>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</si>
  <si>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</si>
  <si>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</si>
  <si>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</si>
  <si>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</si>
  <si>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</si>
  <si>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</si>
  <si>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</si>
  <si>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</si>
  <si>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</si>
  <si>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</si>
  <si>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</si>
  <si>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</si>
  <si>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</si>
  <si>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</si>
  <si>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</si>
  <si>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</si>
  <si>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</si>
  <si>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</si>
  <si>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</si>
  <si>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</si>
  <si>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</si>
  <si>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</si>
  <si>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</si>
  <si>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</si>
  <si>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</si>
  <si>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</si>
  <si>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</si>
  <si>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</si>
  <si>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</si>
  <si>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</si>
  <si>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</si>
  <si>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</si>
  <si>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</si>
  <si>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</si>
  <si>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</si>
  <si>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</si>
  <si>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</si>
  <si>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</si>
  <si>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</si>
  <si>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</si>
  <si>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</si>
  <si>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</si>
  <si>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</si>
  <si>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</si>
  <si>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</si>
  <si>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</si>
  <si>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</si>
  <si>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</si>
  <si>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</si>
  <si>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</si>
  <si>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</si>
  <si>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</si>
  <si>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</si>
  <si>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</si>
  <si>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</si>
  <si>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</si>
  <si>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</si>
  <si>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</si>
  <si>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</si>
  <si>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</si>
  <si>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</si>
  <si>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</si>
  <si>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</si>
  <si>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</si>
  <si>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</si>
  <si>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</si>
  <si>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</si>
  <si>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</si>
  <si>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</si>
  <si>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</si>
  <si>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</si>
  <si>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</si>
  <si>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</si>
  <si>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</si>
  <si>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</si>
  <si>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</si>
  <si>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</si>
  <si>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</si>
  <si>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</si>
  <si>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</si>
  <si>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</si>
  <si>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</si>
  <si>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</si>
  <si>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</si>
  <si>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</si>
  <si>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</si>
  <si>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</si>
  <si>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</si>
  <si>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</si>
  <si>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</si>
  <si>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</si>
  <si>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</si>
  <si>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</si>
  <si>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</si>
  <si>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</si>
  <si>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</si>
  <si>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</si>
  <si>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</si>
  <si>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</si>
  <si>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</si>
  <si>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</si>
  <si>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</si>
  <si>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</si>
  <si>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</si>
  <si>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</si>
  <si>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</si>
  <si>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</si>
  <si>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</si>
  <si>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</si>
  <si>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</si>
  <si>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</si>
  <si>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</si>
  <si>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</si>
  <si>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</si>
  <si>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</si>
  <si>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</si>
  <si>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</si>
  <si>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</si>
  <si>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</si>
  <si>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</si>
  <si>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</si>
  <si>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</si>
  <si>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</si>
  <si>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</si>
  <si>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</si>
  <si>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</si>
  <si>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</si>
  <si>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</si>
  <si>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</si>
  <si>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</si>
  <si>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</si>
  <si>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</si>
  <si>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</si>
  <si>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</si>
  <si>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</si>
  <si>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</si>
  <si>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</si>
  <si>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</si>
  <si>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</si>
  <si>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</si>
  <si>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</si>
  <si>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</si>
  <si>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</si>
  <si>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</si>
  <si>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</si>
  <si>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</si>
  <si>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</si>
  <si>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</si>
  <si>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</si>
  <si>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</si>
  <si>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</si>
  <si>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</si>
  <si>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</si>
  <si>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</si>
  <si>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</si>
  <si>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</si>
  <si>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</si>
  <si>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</si>
  <si>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</si>
  <si>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</si>
  <si>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</si>
  <si>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</si>
  <si>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</si>
  <si>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</si>
  <si>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</si>
  <si>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</si>
  <si>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</si>
  <si>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</si>
  <si>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</si>
  <si>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</si>
  <si>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</si>
  <si>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</si>
  <si>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</si>
  <si>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</si>
  <si>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</si>
  <si>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</si>
  <si>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</si>
  <si>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</si>
  <si>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</si>
  <si>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</si>
  <si>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</si>
  <si>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</si>
  <si>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</si>
  <si>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</si>
  <si>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</si>
  <si>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</si>
  <si>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</si>
  <si>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</si>
  <si>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</si>
  <si>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</si>
  <si>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</si>
  <si>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</si>
  <si>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</si>
  <si>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</si>
  <si>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</si>
  <si>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</si>
  <si>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</si>
  <si>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</si>
  <si>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</si>
  <si>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</si>
  <si>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</si>
  <si>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</si>
  <si>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</si>
  <si>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</si>
  <si>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</si>
  <si>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</si>
  <si>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</si>
  <si>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</si>
  <si>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</si>
  <si>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</si>
  <si>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</si>
  <si>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</si>
  <si>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</si>
  <si>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</si>
  <si>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</si>
  <si>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</si>
  <si>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</si>
  <si>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</si>
  <si>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</si>
  <si>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</si>
  <si>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</si>
  <si>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</si>
  <si>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</si>
  <si>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</si>
  <si>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</si>
  <si>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</si>
  <si>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</si>
  <si>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</si>
  <si>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</si>
  <si>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</si>
  <si>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</si>
  <si>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</si>
  <si>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</si>
  <si>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</si>
  <si>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</si>
  <si>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</si>
  <si>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</si>
  <si>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</si>
  <si>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</si>
  <si>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</si>
  <si>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</si>
  <si>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</si>
  <si>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</si>
  <si>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</si>
  <si>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</si>
  <si>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</si>
  <si>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</si>
  <si>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</si>
  <si>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</si>
  <si>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</si>
  <si>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</si>
  <si>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</si>
  <si>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</si>
  <si>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</si>
  <si>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</si>
  <si>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</si>
  <si>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</si>
  <si>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</si>
  <si>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</si>
  <si>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</si>
  <si>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</si>
  <si>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</si>
  <si>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</si>
  <si>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</si>
  <si>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</si>
  <si>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</si>
  <si>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</si>
  <si>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</si>
  <si>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</si>
  <si>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</si>
  <si>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</si>
  <si>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</si>
  <si>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</si>
  <si>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</si>
  <si>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</si>
  <si>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</si>
  <si>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</si>
  <si>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</si>
  <si>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</si>
  <si>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</si>
  <si>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</si>
  <si>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</si>
  <si>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</si>
  <si>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</si>
  <si>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</si>
  <si>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</si>
  <si>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</si>
  <si>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</si>
  <si>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</si>
  <si>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</si>
  <si>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</si>
  <si>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</si>
  <si>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</si>
  <si>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</si>
  <si>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</si>
  <si>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</si>
  <si>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</si>
  <si>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</si>
  <si>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</si>
  <si>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</si>
  <si>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</si>
  <si>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</si>
  <si>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</si>
  <si>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</si>
  <si>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</si>
  <si>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</si>
  <si>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</si>
  <si>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</si>
  <si>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</si>
  <si>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</si>
  <si>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</si>
  <si>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</si>
  <si>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</si>
  <si>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</si>
  <si>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</si>
  <si>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</si>
  <si>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</si>
  <si>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</si>
  <si>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</si>
  <si>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</si>
  <si>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</si>
  <si>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</si>
  <si>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</si>
  <si>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</si>
  <si>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</si>
  <si>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</si>
  <si>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</si>
  <si>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</si>
  <si>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</si>
  <si>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</si>
  <si>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</si>
  <si>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</si>
  <si>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</si>
  <si>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</si>
  <si>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</si>
  <si>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</si>
  <si>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</si>
  <si>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</si>
  <si>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</si>
  <si>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</si>
  <si>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</si>
  <si>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</si>
  <si>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</si>
  <si>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</si>
  <si>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</si>
  <si>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</si>
  <si>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</si>
  <si>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</si>
  <si>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</si>
  <si>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</si>
  <si>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</si>
  <si>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</si>
  <si>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</si>
  <si>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</si>
  <si>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</si>
  <si>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</si>
  <si>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</si>
  <si>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</si>
  <si>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</si>
  <si>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</si>
  <si>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</si>
  <si>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</si>
  <si>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</si>
  <si>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</si>
  <si>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</si>
  <si>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</si>
  <si>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</si>
  <si>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</si>
  <si>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</si>
  <si>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</si>
  <si>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</si>
  <si>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</si>
  <si>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</si>
  <si>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</si>
  <si>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</si>
  <si>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</si>
  <si>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</si>
  <si>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</si>
  <si>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</si>
  <si>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</si>
  <si>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</si>
  <si>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</si>
  <si>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</si>
  <si>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</si>
  <si>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</si>
  <si>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</si>
  <si>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</si>
  <si>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</si>
  <si>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</si>
  <si>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</si>
  <si>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</si>
  <si>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</si>
  <si>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</si>
  <si>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</si>
  <si>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</si>
  <si>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</si>
  <si>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</si>
  <si>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</si>
  <si>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</si>
  <si>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</si>
  <si>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</si>
  <si>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</si>
  <si>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</si>
  <si>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</si>
  <si>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</si>
  <si>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</si>
  <si>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</si>
  <si>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</si>
  <si>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</si>
  <si>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</si>
  <si>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</si>
  <si>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</si>
  <si>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</si>
  <si>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</si>
  <si>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</si>
  <si>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</si>
  <si>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</si>
  <si>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</si>
  <si>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</si>
  <si>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</si>
  <si>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</si>
  <si>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</si>
  <si>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</si>
  <si>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</si>
  <si>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</si>
  <si>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</si>
  <si>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</si>
  <si>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</si>
  <si>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</si>
  <si>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</si>
  <si>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</si>
  <si>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</si>
  <si>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</si>
  <si>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</si>
  <si>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</si>
  <si>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</si>
  <si>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</si>
  <si>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</si>
  <si>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</si>
  <si>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</si>
  <si>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</si>
  <si>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</si>
  <si>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</si>
  <si>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</si>
  <si>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</si>
  <si>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</si>
  <si>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</si>
  <si>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</si>
  <si>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</si>
  <si>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</si>
  <si>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</si>
  <si>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</si>
  <si>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</si>
  <si>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</si>
  <si>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</si>
  <si>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</si>
  <si>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</si>
  <si>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</si>
  <si>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</si>
  <si>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</si>
  <si>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</si>
  <si>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</si>
  <si>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</si>
  <si>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</si>
  <si>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</si>
  <si>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</si>
  <si>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</si>
  <si>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</si>
  <si>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</si>
  <si>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</si>
  <si>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</si>
  <si>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</si>
  <si>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</si>
  <si>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</si>
  <si>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</si>
  <si>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</si>
  <si>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</si>
  <si>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</si>
  <si>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</si>
  <si>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</si>
  <si>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</si>
  <si>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</si>
  <si>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</si>
  <si>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</si>
  <si>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</si>
  <si>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</si>
  <si>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</si>
  <si>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</si>
  <si>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</si>
  <si>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</si>
  <si>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</si>
  <si>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</si>
  <si>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</si>
  <si>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</si>
  <si>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</si>
  <si>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</si>
  <si>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</si>
  <si>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</si>
  <si>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</si>
  <si>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</si>
  <si>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</si>
  <si>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</si>
  <si>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</si>
  <si>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</si>
  <si>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</si>
  <si>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</si>
  <si>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</si>
  <si>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</si>
  <si>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</si>
  <si>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</si>
  <si>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</si>
  <si>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</si>
  <si>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</si>
  <si>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</si>
  <si>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</si>
  <si>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</si>
  <si>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</si>
  <si>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</si>
  <si>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</si>
  <si>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</si>
  <si>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</si>
  <si>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</si>
  <si>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</si>
  <si>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</si>
  <si>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</si>
  <si>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</si>
  <si>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</si>
  <si>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</si>
  <si>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</si>
  <si>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</si>
  <si>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</si>
  <si>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</si>
  <si>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</si>
  <si>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</si>
  <si>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</si>
  <si>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</si>
  <si>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</si>
  <si>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</si>
  <si>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</si>
  <si>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</si>
  <si>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</si>
  <si>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</si>
  <si>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</si>
  <si>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</si>
  <si>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</si>
  <si>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</si>
  <si>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</si>
  <si>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</si>
  <si>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</si>
  <si>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</si>
  <si>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</si>
  <si>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</si>
  <si>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</si>
  <si>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</si>
  <si>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</si>
  <si>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</si>
  <si>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</si>
  <si>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</si>
  <si>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</si>
  <si>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</si>
  <si>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</si>
  <si>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</si>
  <si>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</si>
  <si>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</si>
  <si>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</si>
  <si>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</si>
  <si>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</si>
  <si>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</si>
  <si>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</si>
  <si>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</si>
  <si>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</si>
  <si>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</si>
  <si>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</si>
  <si>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</si>
  <si>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</si>
  <si>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</si>
  <si>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</si>
  <si>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</si>
  <si>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</si>
  <si>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</si>
  <si>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</si>
  <si>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</si>
  <si>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</si>
  <si>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</si>
  <si>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</si>
  <si>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</si>
  <si>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</si>
  <si>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</si>
  <si>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</si>
  <si>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</si>
  <si>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</si>
  <si>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</si>
  <si>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</si>
  <si>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</si>
  <si>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</si>
  <si>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</si>
  <si>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</si>
  <si>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</si>
  <si>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</si>
  <si>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</si>
  <si>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</si>
  <si>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</si>
  <si>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</si>
  <si>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</si>
  <si>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</si>
  <si>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</si>
  <si>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</si>
  <si>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</si>
  <si>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</si>
  <si>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</si>
  <si>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</si>
  <si>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</si>
  <si>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</si>
  <si>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</si>
  <si>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</si>
  <si>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</si>
  <si>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</si>
  <si>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</si>
  <si>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</si>
  <si>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</si>
  <si>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</si>
  <si>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</si>
  <si>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</si>
  <si>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</si>
  <si>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</si>
  <si>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</si>
  <si>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</si>
  <si>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</si>
  <si>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</si>
  <si>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</si>
  <si>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</si>
  <si>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</si>
  <si>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</si>
  <si>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</si>
  <si>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</si>
  <si>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</si>
  <si>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</si>
  <si>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</si>
  <si>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</si>
  <si>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</si>
  <si>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</si>
  <si>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</si>
  <si>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</si>
  <si>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</si>
  <si>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</si>
  <si>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</si>
  <si>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</si>
  <si>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</si>
  <si>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</si>
  <si>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</si>
  <si>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</si>
  <si>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</si>
  <si>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</si>
  <si>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</si>
  <si>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</si>
  <si>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</si>
  <si>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</si>
  <si>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</si>
  <si>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</si>
  <si>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</si>
  <si>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</si>
  <si>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</si>
  <si>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</si>
  <si>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</si>
  <si>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</si>
  <si>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</si>
  <si>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</si>
  <si>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</si>
  <si>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</si>
  <si>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</si>
  <si>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</si>
  <si>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</si>
  <si>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</si>
  <si>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</si>
  <si>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</si>
  <si>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</si>
  <si>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</si>
  <si>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</si>
  <si>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</si>
  <si>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</si>
  <si>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</si>
  <si>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</si>
  <si>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</si>
  <si>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</si>
  <si>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</si>
  <si>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</si>
  <si>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</si>
  <si>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</si>
  <si>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</si>
  <si>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</si>
  <si>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</si>
  <si>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</si>
  <si>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</si>
  <si>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</si>
  <si>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</si>
  <si>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</si>
  <si>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</si>
  <si>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</si>
  <si>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</si>
  <si>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</si>
  <si>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</si>
  <si>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</si>
  <si>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</si>
  <si>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</si>
  <si>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</si>
  <si>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</si>
  <si>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</si>
  <si>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</si>
  <si>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</si>
  <si>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</si>
  <si>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</si>
  <si>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</si>
  <si>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</si>
  <si>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</si>
  <si>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</si>
  <si>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</si>
  <si>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</si>
  <si>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</si>
  <si>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</si>
  <si>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</si>
  <si>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</si>
  <si>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</si>
  <si>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</si>
  <si>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</si>
  <si>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</si>
  <si>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</si>
  <si>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</si>
  <si>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</si>
  <si>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</si>
  <si>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</si>
  <si>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</si>
  <si>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</si>
  <si>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</si>
  <si>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</si>
  <si>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</si>
  <si>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</si>
  <si>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</si>
  <si>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</si>
  <si>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</si>
  <si>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</si>
  <si>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</si>
  <si>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</si>
  <si>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</si>
  <si>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</si>
  <si>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</si>
  <si>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</si>
  <si>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</si>
  <si>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</si>
  <si>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</si>
  <si>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</si>
  <si>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</si>
  <si>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</si>
  <si>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</si>
  <si>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</si>
  <si>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</si>
  <si>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</si>
  <si>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</si>
  <si>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</si>
  <si>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</si>
  <si>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</si>
  <si>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</si>
  <si>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</si>
  <si>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</si>
  <si>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</si>
  <si>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</si>
  <si>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</si>
  <si>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</si>
  <si>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</si>
  <si>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</si>
  <si>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</si>
  <si>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</si>
  <si>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</si>
  <si>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</si>
  <si>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</si>
  <si>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</si>
  <si>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</si>
  <si>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</si>
  <si>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</si>
  <si>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</si>
  <si>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</si>
  <si>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</si>
  <si>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</si>
  <si>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</si>
  <si>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</si>
  <si>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</si>
  <si>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</si>
  <si>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</si>
  <si>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</si>
  <si>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</si>
  <si>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</si>
  <si>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</si>
  <si>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</si>
  <si>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</si>
  <si>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</si>
  <si>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</si>
  <si>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</si>
  <si>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</si>
  <si>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</si>
  <si>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</si>
  <si>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</si>
  <si>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</si>
  <si>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</si>
  <si>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</si>
  <si>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</si>
  <si>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</si>
  <si>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</si>
  <si>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</si>
  <si>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</si>
  <si>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</si>
  <si>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</si>
  <si>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</si>
  <si>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</si>
  <si>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</si>
  <si>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</si>
  <si>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</si>
  <si>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</si>
  <si>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</si>
  <si>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</si>
  <si>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</si>
  <si>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</si>
  <si>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</si>
  <si>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</si>
  <si>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</si>
  <si>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</si>
  <si>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</si>
  <si>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</si>
  <si>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</si>
  <si>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</si>
  <si>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</si>
  <si>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</si>
  <si>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</si>
  <si>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</si>
  <si>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</si>
  <si>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</si>
  <si>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</si>
  <si>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</si>
  <si>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</si>
  <si>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</si>
  <si>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</si>
  <si>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</si>
  <si>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</si>
  <si>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</si>
  <si>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</si>
  <si>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</si>
  <si>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</si>
  <si>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</si>
  <si>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</si>
  <si>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</si>
  <si>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</si>
  <si>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</si>
  <si>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</si>
  <si>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</si>
  <si>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</si>
  <si>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</si>
  <si>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</si>
  <si>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</si>
  <si>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</si>
  <si>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</si>
  <si>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</si>
  <si>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</si>
  <si>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</si>
  <si>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</si>
  <si>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</si>
  <si>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</si>
  <si>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</si>
  <si>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</si>
  <si>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</si>
  <si>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</si>
  <si>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</si>
  <si>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</si>
  <si>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</si>
  <si>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</si>
  <si>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</si>
  <si>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</si>
  <si>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</si>
  <si>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</si>
  <si>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</si>
  <si>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</si>
  <si>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</si>
  <si>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</si>
  <si>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</si>
  <si>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</si>
  <si>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</si>
  <si>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</si>
  <si>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</si>
  <si>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</si>
  <si>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</si>
  <si>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</si>
  <si>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</si>
  <si>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</si>
  <si>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</si>
  <si>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</si>
  <si>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</si>
  <si>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</si>
  <si>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</si>
  <si>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</si>
  <si>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</si>
  <si>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</si>
  <si>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</si>
  <si>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</si>
  <si>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</si>
  <si>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</si>
  <si>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</si>
  <si>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</si>
  <si>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</si>
  <si>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</si>
  <si>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</si>
  <si>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</si>
  <si>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</si>
  <si>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</si>
  <si>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</si>
  <si>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</si>
  <si>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</si>
  <si>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</si>
  <si>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</si>
  <si>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</si>
  <si>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</si>
  <si>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</si>
  <si>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</si>
  <si>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</si>
  <si>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</si>
  <si>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</si>
  <si>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</si>
  <si>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</si>
  <si>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</si>
  <si>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</si>
  <si>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</si>
  <si>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</si>
  <si>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</si>
  <si>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</si>
  <si>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</si>
  <si>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</si>
  <si>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</si>
  <si>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</si>
  <si>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</si>
  <si>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</si>
  <si>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</si>
  <si>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</si>
  <si>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</si>
  <si>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</si>
  <si>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</si>
  <si>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</si>
  <si>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</si>
  <si>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</si>
  <si>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</si>
  <si>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</si>
  <si>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</si>
  <si>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</si>
  <si>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</si>
  <si>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</si>
  <si>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</si>
  <si>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</si>
  <si>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</si>
  <si>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</si>
  <si>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</si>
  <si>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</si>
  <si>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</si>
  <si>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</si>
  <si>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</si>
  <si>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</si>
  <si>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</si>
  <si>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</si>
  <si>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</si>
  <si>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</si>
  <si>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</si>
  <si>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</si>
  <si>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</si>
  <si>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</si>
  <si>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</si>
  <si>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</si>
  <si>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</si>
  <si>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</si>
  <si>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</si>
  <si>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</si>
  <si>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</si>
  <si>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</si>
  <si>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</si>
  <si>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</si>
  <si>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</si>
  <si>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</si>
  <si>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</si>
  <si>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</si>
  <si>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</si>
  <si>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</si>
  <si>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</si>
  <si>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</si>
  <si>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</si>
  <si>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</si>
  <si>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</si>
  <si>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</si>
  <si>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</si>
  <si>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</si>
  <si>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</si>
  <si>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</si>
  <si>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</si>
  <si>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</si>
  <si>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</si>
  <si>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</si>
  <si>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</si>
  <si>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</si>
  <si>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</si>
  <si>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</si>
  <si>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</si>
  <si>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</si>
  <si>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</si>
  <si>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</si>
  <si>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</si>
  <si>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</si>
  <si>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</si>
  <si>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</si>
  <si>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</si>
  <si>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</si>
  <si>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</si>
  <si>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</si>
  <si>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</si>
  <si>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</si>
  <si>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</si>
  <si>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</si>
  <si>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</si>
  <si>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</si>
  <si>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</si>
  <si>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</si>
  <si>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</si>
  <si>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</si>
  <si>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</si>
  <si>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</si>
  <si>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</si>
  <si>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</si>
  <si>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</si>
  <si>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</si>
  <si>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</si>
  <si>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</si>
  <si>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</si>
  <si>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</si>
  <si>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</si>
  <si>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</si>
  <si>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</si>
  <si>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</si>
  <si>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</si>
  <si>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</si>
  <si>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</si>
  <si>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</si>
  <si>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</si>
  <si>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</si>
  <si>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</si>
  <si>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</si>
  <si>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</si>
  <si>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</si>
  <si>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</si>
  <si>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</si>
  <si>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</si>
  <si>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</si>
  <si>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</si>
  <si>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</si>
  <si>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</si>
  <si>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</si>
  <si>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</si>
  <si>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</si>
  <si>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</si>
  <si>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</si>
  <si>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</si>
  <si>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</si>
  <si>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</si>
  <si>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</si>
  <si>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</si>
  <si>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</si>
  <si>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</si>
  <si>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</si>
  <si>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</si>
  <si>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</si>
  <si>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</si>
  <si>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</si>
  <si>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</si>
  <si>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</si>
  <si>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</si>
  <si>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</si>
  <si>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</si>
  <si>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</si>
  <si>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</si>
  <si>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</si>
  <si>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</si>
  <si>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</si>
  <si>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</si>
  <si>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</si>
  <si>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</si>
  <si>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</si>
  <si>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</si>
  <si>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</si>
  <si>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</si>
  <si>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</si>
  <si>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</si>
  <si>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</si>
  <si>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</si>
  <si>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</si>
  <si>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</si>
  <si>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</si>
  <si>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</si>
  <si>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</si>
  <si>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</si>
  <si>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</si>
  <si>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</si>
  <si>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</si>
  <si>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</si>
  <si>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</si>
  <si>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</si>
  <si>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</si>
  <si>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</si>
  <si>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</si>
  <si>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</si>
  <si>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</si>
  <si>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</si>
  <si>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</si>
  <si>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</si>
  <si>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</si>
  <si>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</si>
  <si>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</si>
  <si>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</si>
  <si>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</si>
  <si>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</si>
  <si>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</si>
  <si>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</si>
  <si>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</si>
  <si>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</si>
  <si>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</si>
  <si>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</si>
  <si>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</si>
  <si>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</si>
  <si>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</si>
  <si>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</si>
  <si>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</si>
  <si>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</si>
  <si>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</si>
  <si>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</si>
  <si>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</si>
  <si>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</si>
  <si>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</si>
  <si>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</si>
  <si>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</si>
  <si>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</si>
  <si>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</si>
  <si>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</si>
  <si>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</si>
  <si>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</si>
  <si>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</si>
  <si>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</si>
  <si>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</si>
  <si>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</si>
  <si>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</si>
  <si>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</si>
  <si>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</si>
  <si>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</si>
  <si>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</si>
  <si>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</si>
  <si>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</si>
  <si>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</si>
  <si>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</si>
  <si>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</si>
  <si>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</si>
  <si>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</si>
  <si>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</si>
  <si>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</si>
  <si>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</si>
  <si>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</si>
  <si>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</si>
  <si>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</si>
  <si>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</si>
  <si>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</si>
  <si>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</si>
  <si>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</si>
  <si>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</si>
  <si>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</si>
  <si>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</si>
  <si>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</si>
  <si>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</si>
  <si>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</si>
  <si>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</si>
  <si>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</si>
  <si>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</si>
  <si>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</si>
  <si>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</si>
  <si>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</si>
  <si>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</si>
  <si>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</si>
  <si>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</si>
  <si>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</si>
  <si>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</si>
  <si>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</si>
  <si>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</si>
  <si>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</si>
  <si>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</si>
  <si>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</si>
  <si>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</si>
  <si>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</si>
  <si>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</si>
  <si>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</si>
  <si>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</si>
  <si>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</si>
  <si>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</si>
  <si>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</si>
  <si>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</si>
  <si>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</si>
  <si>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</si>
  <si>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</si>
  <si>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</si>
  <si>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</si>
  <si>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</si>
  <si>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</si>
  <si>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</si>
  <si>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</si>
  <si>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</si>
  <si>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</si>
  <si>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</si>
  <si>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</si>
  <si>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</si>
  <si>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</si>
  <si>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</si>
  <si>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</si>
  <si>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</si>
  <si>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</si>
  <si>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</si>
  <si>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</si>
  <si>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</si>
  <si>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</si>
  <si>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</si>
  <si>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</si>
  <si>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</si>
  <si>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</si>
  <si>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</si>
  <si>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</si>
  <si>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</si>
  <si>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</si>
  <si>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</si>
  <si>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</si>
  <si>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</si>
  <si>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</si>
  <si>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</si>
  <si>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</si>
  <si>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</si>
  <si>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</si>
  <si>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</si>
  <si>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</si>
  <si>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</si>
  <si>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</si>
  <si>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</si>
  <si>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</si>
  <si>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</si>
  <si>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</si>
  <si>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</si>
  <si>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</si>
  <si>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</si>
  <si>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</si>
  <si>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</si>
  <si>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</si>
  <si>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</si>
  <si>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</si>
  <si>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</si>
  <si>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</si>
  <si>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</si>
  <si>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</si>
  <si>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</si>
  <si>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</si>
  <si>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</si>
  <si>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</si>
  <si>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</si>
  <si>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</si>
  <si>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</si>
  <si>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</si>
  <si>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</si>
  <si>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</si>
  <si>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</si>
  <si>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</si>
  <si>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</si>
  <si>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</si>
  <si>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</si>
  <si>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</si>
  <si>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</si>
  <si>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</si>
  <si>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</si>
  <si>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</si>
  <si>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</si>
  <si>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</si>
  <si>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</si>
  <si>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</si>
  <si>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</si>
  <si>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</si>
  <si>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</si>
  <si>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</si>
  <si>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</si>
  <si>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</si>
  <si>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</si>
  <si>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</si>
  <si>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</si>
  <si>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</si>
  <si>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</si>
  <si>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</si>
  <si>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</si>
  <si>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</si>
  <si>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</si>
  <si>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</si>
  <si>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</si>
  <si>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</si>
  <si>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</si>
  <si>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</si>
  <si>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</si>
  <si>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</si>
  <si>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</si>
  <si>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</si>
  <si>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</si>
  <si>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</si>
  <si>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</si>
  <si>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</si>
  <si>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</si>
  <si>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</si>
  <si>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</si>
  <si>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</si>
  <si>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</si>
  <si>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</si>
  <si>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</si>
  <si>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</si>
  <si>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</si>
  <si>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</si>
  <si>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</si>
  <si>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</si>
  <si>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</si>
  <si>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</si>
  <si>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</si>
  <si>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</si>
  <si>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</si>
  <si>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</si>
  <si>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</si>
  <si>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</si>
  <si>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</si>
  <si>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</si>
  <si>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</si>
  <si>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</si>
  <si>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</si>
  <si>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</si>
  <si>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</si>
  <si>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</si>
  <si>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</si>
  <si>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</si>
  <si>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</si>
  <si>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</si>
  <si>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</si>
  <si>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</si>
  <si>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</si>
  <si>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</si>
  <si>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</si>
  <si>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</si>
  <si>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</si>
  <si>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</si>
  <si>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</si>
  <si>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</si>
  <si>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</si>
  <si>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</si>
  <si>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</si>
  <si>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</si>
  <si>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</si>
  <si>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</si>
  <si>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</si>
  <si>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</si>
  <si>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</si>
  <si>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</si>
  <si>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</si>
  <si>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</si>
  <si>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</si>
  <si>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</si>
  <si>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</si>
  <si>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</si>
  <si>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</si>
  <si>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</si>
  <si>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</si>
  <si>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</si>
  <si>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</si>
  <si>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</si>
  <si>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</si>
  <si>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</si>
  <si>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</si>
  <si>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</si>
  <si>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</si>
  <si>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</si>
  <si>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</si>
  <si>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</si>
  <si>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</si>
  <si>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</si>
  <si>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</si>
  <si>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</si>
  <si>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</si>
  <si>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</si>
  <si>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</si>
  <si>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</si>
  <si>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</si>
  <si>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</si>
  <si>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</si>
  <si>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</si>
  <si>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</si>
  <si>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</si>
  <si>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</si>
  <si>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</si>
  <si>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</si>
  <si>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</si>
  <si>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</si>
  <si>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</si>
  <si>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</si>
  <si>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</si>
  <si>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</si>
  <si>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</si>
  <si>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</si>
  <si>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</si>
  <si>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</si>
  <si>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</si>
  <si>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</si>
  <si>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</si>
  <si>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</si>
  <si>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</si>
  <si>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</si>
  <si>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</si>
  <si>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</si>
  <si>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</si>
  <si>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</si>
  <si>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</si>
  <si>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</si>
  <si>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</si>
  <si>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</si>
  <si>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</si>
  <si>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</si>
  <si>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</si>
  <si>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</si>
  <si>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</si>
  <si>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</si>
  <si>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</si>
  <si>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</si>
  <si>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</si>
  <si>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</si>
  <si>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</si>
  <si>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</si>
  <si>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</si>
  <si>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</si>
  <si>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</si>
  <si>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</si>
  <si>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</si>
  <si>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</si>
  <si>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</si>
  <si>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</si>
  <si>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</si>
  <si>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</si>
  <si>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</si>
  <si>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</si>
  <si>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</si>
  <si>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</si>
  <si>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</si>
  <si>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</si>
  <si>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</si>
  <si>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</si>
  <si>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</si>
  <si>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</si>
  <si>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</si>
  <si>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</si>
  <si>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</si>
  <si>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</si>
  <si>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</si>
  <si>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</si>
  <si>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</si>
  <si>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</si>
  <si>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</si>
  <si>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</si>
  <si>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</si>
  <si>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</si>
  <si>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</si>
  <si>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</si>
  <si>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</si>
  <si>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</si>
  <si>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</si>
  <si>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</si>
  <si>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</si>
  <si>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</si>
  <si>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</si>
  <si>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</si>
  <si>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</si>
  <si>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</si>
  <si>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</si>
  <si>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</si>
  <si>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</si>
  <si>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</si>
  <si>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</si>
  <si>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</si>
  <si>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</si>
  <si>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</si>
  <si>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</si>
  <si>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</si>
  <si>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</si>
  <si>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</si>
  <si>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</si>
  <si>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</si>
  <si>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</si>
  <si>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</si>
  <si>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</si>
  <si>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</si>
  <si>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</si>
  <si>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</si>
  <si>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</si>
  <si>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</si>
  <si>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</si>
  <si>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</si>
  <si>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</si>
  <si>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</si>
  <si>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</si>
  <si>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</si>
  <si>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</si>
  <si>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</si>
  <si>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</si>
  <si>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</si>
  <si>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</si>
  <si>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</si>
  <si>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</si>
  <si>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</si>
  <si>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</si>
  <si>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</si>
  <si>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</si>
  <si>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</si>
  <si>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</si>
  <si>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</si>
  <si>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</si>
  <si>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</si>
  <si>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</si>
  <si>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</si>
  <si>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</si>
  <si>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</si>
  <si>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</si>
  <si>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</si>
  <si>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</si>
  <si>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</si>
  <si>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</si>
  <si>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</si>
  <si>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</si>
  <si>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</si>
  <si>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</si>
  <si>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</si>
  <si>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</si>
  <si>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</si>
  <si>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</si>
  <si>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</si>
  <si>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</si>
  <si>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</si>
  <si>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</si>
  <si>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</si>
  <si>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</si>
  <si>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</si>
  <si>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</si>
  <si>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</si>
  <si>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</si>
  <si>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</si>
  <si>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</si>
  <si>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</si>
  <si>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</si>
  <si>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</si>
  <si>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</si>
  <si>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</si>
  <si>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</si>
  <si>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</si>
  <si>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</si>
  <si>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</si>
  <si>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</si>
  <si>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</si>
  <si>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</si>
  <si>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</si>
  <si>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</si>
  <si>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</si>
  <si>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</si>
  <si>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</si>
  <si>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</si>
  <si>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</si>
  <si>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</si>
  <si>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</si>
  <si>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</si>
  <si>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</si>
  <si>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</si>
  <si>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</si>
  <si>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</si>
  <si>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</si>
  <si>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</si>
  <si>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</si>
  <si>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</si>
  <si>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</si>
  <si>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</si>
  <si>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</si>
  <si>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</si>
  <si>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</si>
  <si>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</si>
  <si>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</si>
  <si>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</si>
  <si>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</si>
  <si>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</si>
  <si>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</si>
  <si>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</si>
  <si>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</si>
  <si>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</si>
  <si>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</si>
  <si>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</si>
  <si>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</si>
  <si>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</si>
  <si>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</si>
  <si>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</si>
  <si>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</si>
  <si>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</si>
  <si>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</si>
  <si>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</si>
  <si>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</si>
  <si>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</si>
  <si>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</si>
  <si>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</si>
  <si>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</si>
  <si>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</si>
  <si>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</si>
  <si>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</si>
  <si>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</si>
  <si>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</si>
  <si>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</si>
  <si>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</si>
  <si>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</si>
  <si>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</si>
  <si>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</si>
  <si>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</si>
  <si>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</si>
  <si>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</si>
  <si>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</si>
  <si>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</si>
  <si>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</si>
  <si>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</si>
  <si>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</si>
  <si>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</si>
  <si>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</si>
  <si>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</si>
  <si>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</si>
  <si>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</si>
  <si>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</si>
  <si>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</si>
  <si>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</si>
  <si>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</si>
  <si>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</si>
  <si>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</si>
  <si>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</si>
  <si>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</si>
  <si>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</si>
  <si>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</si>
  <si>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</si>
  <si>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</si>
  <si>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</si>
  <si>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</si>
  <si>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</si>
  <si>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</si>
  <si>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</si>
  <si>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</si>
  <si>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</si>
  <si>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</si>
  <si>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</si>
  <si>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</si>
  <si>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</si>
  <si>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</si>
  <si>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</si>
  <si>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</si>
  <si>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</si>
  <si>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</si>
  <si>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</si>
  <si>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</si>
  <si>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</si>
  <si>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</si>
  <si>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</si>
  <si>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</si>
  <si>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</si>
  <si>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</si>
  <si>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</si>
  <si>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</si>
  <si>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</si>
  <si>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</si>
  <si>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</si>
  <si>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</si>
  <si>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</si>
  <si>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</si>
  <si>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</si>
  <si>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</si>
  <si>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</si>
  <si>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</si>
  <si>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</si>
  <si>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</si>
  <si>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</si>
  <si>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</si>
  <si>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</si>
  <si>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</si>
  <si>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</si>
  <si>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</si>
  <si>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</si>
  <si>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</si>
  <si>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</si>
  <si>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</si>
  <si>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</si>
  <si>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</si>
  <si>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</si>
  <si>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</si>
  <si>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</si>
  <si>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</si>
  <si>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</si>
  <si>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</si>
  <si>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</si>
  <si>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</si>
  <si>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</si>
  <si>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</si>
  <si>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</si>
  <si>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</si>
  <si>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</si>
  <si>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</si>
  <si>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</si>
  <si>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</si>
  <si>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</si>
  <si>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</si>
  <si>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</si>
  <si>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</si>
  <si>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</si>
  <si>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</si>
  <si>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</si>
  <si>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</si>
  <si>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</si>
  <si>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</si>
  <si>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</si>
  <si>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</si>
  <si>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</si>
  <si>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</si>
  <si>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</si>
  <si>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</si>
  <si>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</si>
  <si>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</si>
  <si>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</si>
  <si>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</si>
  <si>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</si>
  <si>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</si>
  <si>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</si>
  <si>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</si>
  <si>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</si>
  <si>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</si>
  <si>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</si>
  <si>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</si>
  <si>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</si>
  <si>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</si>
  <si>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</si>
  <si>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</si>
  <si>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</si>
  <si>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</si>
  <si>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</si>
  <si>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</si>
  <si>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</si>
  <si>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</si>
  <si>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</si>
  <si>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</si>
  <si>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</si>
  <si>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</si>
  <si>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</si>
  <si>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</si>
  <si>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</si>
  <si>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</si>
  <si>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</si>
  <si>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</si>
  <si>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</si>
  <si>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</si>
  <si>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</si>
  <si>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</si>
  <si>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</si>
  <si>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</si>
  <si>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</si>
  <si>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</si>
  <si>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</si>
  <si>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</si>
  <si>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</si>
  <si>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</si>
  <si>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</si>
  <si>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</si>
  <si>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</si>
  <si>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</si>
  <si>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</si>
  <si>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</si>
  <si>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</si>
  <si>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</si>
  <si>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</si>
  <si>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</si>
  <si>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</si>
  <si>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</si>
  <si>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</si>
  <si>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</si>
  <si>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</si>
  <si>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</si>
  <si>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</si>
  <si>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</si>
  <si>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</si>
  <si>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</si>
  <si>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</si>
  <si>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</si>
  <si>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</si>
  <si>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</si>
  <si>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</si>
  <si>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</si>
  <si>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</si>
  <si>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</si>
  <si>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</si>
  <si>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</si>
  <si>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</si>
  <si>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</si>
  <si>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</si>
  <si>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</si>
  <si>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</si>
  <si>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</si>
  <si>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</si>
  <si>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</si>
  <si>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</si>
  <si>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</si>
  <si>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</si>
  <si>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</si>
  <si>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</si>
  <si>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</si>
  <si>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</si>
  <si>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</si>
  <si>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</si>
  <si>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</si>
  <si>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</si>
  <si>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</si>
  <si>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</si>
  <si>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</si>
  <si>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</si>
  <si>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</si>
  <si>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</si>
  <si>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</si>
  <si>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</si>
  <si>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</si>
  <si>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</si>
  <si>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</si>
  <si>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</si>
  <si>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</si>
  <si>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</si>
  <si>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</si>
  <si>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</si>
  <si>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</si>
  <si>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</si>
  <si>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</si>
  <si>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</si>
  <si>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</si>
  <si>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</si>
  <si>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</si>
  <si>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</si>
  <si>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</si>
  <si>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</si>
  <si>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</si>
  <si>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</si>
  <si>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</si>
  <si>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</si>
  <si>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</si>
  <si>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</si>
  <si>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</si>
  <si>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</si>
  <si>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</si>
  <si>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</si>
  <si>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</si>
  <si>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</si>
  <si>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</si>
  <si>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</si>
  <si>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</si>
  <si>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</si>
  <si>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</si>
  <si>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</si>
  <si>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</si>
  <si>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</si>
  <si>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</si>
  <si>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</si>
  <si>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</si>
  <si>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</si>
  <si>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</si>
  <si>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</si>
  <si>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</si>
  <si>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</si>
  <si>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</si>
  <si>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</si>
  <si>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</si>
  <si>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</si>
  <si>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</si>
  <si>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</si>
  <si>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</si>
  <si>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</si>
  <si>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</si>
  <si>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</si>
  <si>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</si>
  <si>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</si>
  <si>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</si>
  <si>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</si>
  <si>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</si>
  <si>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</si>
  <si>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</si>
  <si>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</si>
  <si>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</si>
  <si>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</si>
  <si>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</si>
  <si>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</si>
  <si>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</si>
  <si>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</si>
  <si>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</si>
  <si>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</si>
  <si>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</si>
  <si>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</si>
  <si>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</si>
  <si>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</si>
  <si>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</si>
  <si>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</si>
  <si>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</si>
  <si>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</si>
  <si>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</si>
  <si>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</si>
  <si>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</si>
  <si>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</si>
  <si>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</si>
  <si>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</si>
  <si>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</si>
  <si>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</si>
  <si>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</si>
  <si>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</si>
  <si>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</si>
  <si>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</si>
  <si>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</si>
  <si>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</si>
  <si>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</si>
  <si>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</si>
  <si>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</si>
  <si>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</si>
  <si>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</si>
  <si>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</si>
  <si>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</si>
  <si>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</si>
  <si>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</si>
  <si>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</si>
  <si>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</si>
  <si>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</si>
  <si>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</si>
  <si>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</si>
  <si>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</si>
  <si>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</si>
  <si>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</si>
  <si>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</si>
  <si>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</si>
  <si>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</si>
  <si>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</si>
  <si>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</si>
  <si>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</si>
  <si>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</si>
  <si>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</si>
  <si>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</si>
  <si>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</si>
  <si>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</si>
  <si>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</si>
  <si>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</si>
  <si>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</si>
  <si>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</si>
  <si>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</si>
  <si>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</si>
  <si>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</si>
  <si>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</si>
  <si>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</si>
  <si>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</si>
  <si>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</si>
  <si>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</si>
  <si>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</si>
  <si>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</si>
  <si>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</si>
  <si>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</si>
  <si>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</si>
  <si>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</si>
  <si>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</si>
  <si>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</si>
  <si>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</si>
  <si>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</si>
  <si>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</si>
  <si>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</si>
  <si>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</si>
  <si>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</si>
  <si>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</si>
  <si>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</si>
  <si>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</si>
  <si>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</si>
  <si>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</si>
  <si>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</si>
  <si>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</si>
  <si>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</si>
  <si>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</si>
  <si>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</si>
  <si>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</si>
  <si>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</si>
  <si>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</si>
  <si>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</si>
  <si>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</si>
  <si>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</si>
  <si>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</si>
  <si>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</si>
  <si>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</si>
  <si>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</si>
  <si>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</si>
  <si>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</si>
  <si>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</si>
  <si>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</si>
  <si>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</si>
  <si>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</si>
  <si>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</si>
  <si>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</si>
  <si>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</si>
  <si>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</si>
  <si>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</si>
  <si>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</si>
  <si>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</si>
  <si>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</si>
  <si>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</si>
  <si>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</si>
  <si>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</si>
  <si>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</si>
  <si>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</si>
  <si>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</si>
  <si>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</si>
  <si>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</si>
  <si>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</si>
  <si>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</si>
  <si>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</si>
  <si>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</si>
  <si>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</si>
  <si>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</si>
  <si>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</si>
  <si>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</si>
  <si>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</si>
  <si>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</si>
  <si>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</si>
  <si>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</si>
  <si>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</si>
  <si>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</si>
  <si>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</si>
  <si>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</si>
  <si>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</si>
  <si>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</si>
  <si>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</si>
  <si>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</si>
  <si>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</si>
  <si>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</si>
  <si>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</si>
  <si>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</si>
  <si>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</si>
  <si>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</si>
  <si>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</si>
  <si>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</si>
  <si>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</si>
  <si>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</si>
  <si>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</si>
  <si>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</si>
  <si>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</si>
  <si>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</si>
  <si>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</si>
  <si>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</si>
  <si>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</si>
  <si>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</si>
  <si>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</si>
  <si>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</si>
  <si>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</si>
  <si>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</si>
  <si>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</si>
  <si>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</si>
  <si>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</si>
  <si>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</si>
  <si>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</si>
  <si>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</si>
  <si>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</si>
  <si>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</si>
  <si>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</si>
  <si>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</si>
  <si>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</si>
  <si>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</si>
  <si>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</si>
  <si>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</si>
  <si>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</si>
  <si>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</si>
  <si>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</si>
  <si>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</si>
  <si>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</si>
  <si>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</si>
  <si>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</si>
  <si>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</si>
  <si>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</si>
  <si>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</si>
  <si>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</si>
  <si>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</si>
  <si>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</si>
  <si>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</si>
  <si>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</si>
  <si>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</si>
  <si>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</si>
  <si>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</si>
  <si>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</si>
  <si>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</si>
  <si>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</si>
  <si>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</si>
  <si>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</si>
  <si>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</si>
  <si>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</si>
  <si>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</si>
  <si>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</si>
  <si>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</si>
  <si>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</si>
  <si>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</si>
  <si>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</si>
  <si>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</si>
  <si>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</si>
  <si>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</si>
  <si>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</si>
  <si>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</si>
  <si>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</si>
  <si>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</si>
  <si>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</si>
  <si>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</si>
  <si>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</si>
  <si>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</si>
  <si>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</si>
  <si>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</si>
  <si>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</si>
  <si>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</si>
  <si>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</si>
  <si>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</si>
  <si>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</si>
  <si>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</si>
  <si>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</si>
  <si>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</si>
  <si>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</si>
  <si>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</si>
  <si>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</si>
  <si>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</si>
  <si>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</si>
  <si>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</si>
  <si>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</si>
  <si>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</si>
  <si>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</si>
  <si>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</si>
  <si>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</si>
  <si>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</si>
  <si>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</si>
  <si>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</si>
  <si>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</si>
  <si>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</si>
  <si>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</si>
  <si>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</si>
  <si>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</si>
  <si>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</si>
  <si>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</si>
  <si>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</si>
  <si>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</si>
  <si>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</si>
  <si>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</si>
  <si>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</si>
  <si>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</si>
  <si>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</si>
  <si>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</si>
  <si>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</si>
  <si>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</si>
  <si>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</si>
  <si>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</si>
  <si>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</si>
  <si>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</si>
  <si>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</si>
  <si>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</si>
  <si>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</si>
  <si>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</si>
  <si>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</si>
  <si>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</si>
  <si>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</si>
  <si>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</si>
  <si>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</si>
  <si>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</si>
  <si>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</si>
  <si>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</si>
  <si>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</si>
  <si>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</si>
  <si>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</si>
  <si>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</si>
  <si>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</si>
  <si>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</si>
  <si>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</si>
  <si>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</si>
  <si>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</si>
  <si>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</si>
  <si>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</si>
  <si>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</si>
  <si>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</si>
  <si>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</si>
  <si>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</si>
  <si>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</si>
  <si>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</si>
  <si>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</si>
  <si>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</si>
  <si>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</si>
  <si>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</si>
  <si>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</si>
  <si>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</si>
  <si>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</si>
  <si>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</si>
  <si>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</si>
  <si>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</si>
  <si>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</si>
  <si>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</si>
  <si>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</si>
  <si>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</si>
  <si>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</si>
  <si>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</si>
  <si>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</si>
  <si>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</si>
  <si>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</si>
  <si>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</si>
  <si>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</si>
  <si>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</si>
  <si>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</si>
  <si>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</si>
  <si>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</si>
  <si>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</si>
  <si>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</si>
  <si>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</si>
  <si>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</si>
  <si>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</si>
  <si>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</si>
  <si>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</si>
  <si>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</si>
  <si>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</si>
  <si>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</si>
  <si>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</si>
  <si>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</si>
  <si>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</si>
  <si>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</si>
  <si>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</si>
  <si>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</si>
  <si>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</si>
  <si>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</si>
  <si>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</si>
  <si>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</si>
  <si>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</si>
  <si>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</si>
  <si>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</si>
  <si>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</si>
  <si>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</si>
  <si>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</si>
  <si>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</si>
  <si>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</si>
  <si>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</si>
  <si>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</si>
  <si>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</si>
  <si>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</si>
  <si>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</si>
  <si>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</si>
  <si>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</si>
  <si>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</si>
  <si>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</si>
  <si>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</si>
  <si>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</si>
  <si>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</si>
  <si>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</si>
  <si>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</si>
  <si>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</si>
  <si>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</si>
  <si>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</si>
  <si>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</si>
  <si>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</si>
  <si>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</si>
  <si>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</si>
  <si>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</si>
  <si>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</si>
  <si>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</si>
  <si>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</si>
  <si>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</si>
  <si>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</si>
  <si>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</si>
  <si>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</si>
  <si>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</si>
  <si>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</si>
  <si>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</si>
  <si>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</si>
  <si>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</si>
  <si>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</si>
  <si>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</si>
  <si>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</si>
  <si>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</si>
  <si>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</si>
  <si>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</si>
  <si>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</si>
  <si>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</si>
  <si>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</si>
  <si>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</si>
  <si>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</si>
  <si>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</si>
  <si>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</si>
  <si>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</si>
  <si>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</si>
  <si>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</si>
  <si>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</si>
  <si>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</si>
  <si>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</si>
  <si>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</si>
  <si>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</si>
  <si>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</si>
  <si>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</si>
  <si>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</si>
  <si>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</si>
  <si>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</si>
  <si>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</si>
  <si>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</si>
  <si>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</si>
  <si>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</si>
  <si>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</si>
  <si>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</si>
  <si>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</si>
  <si>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</si>
  <si>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</si>
  <si>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</si>
  <si>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</si>
  <si>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</si>
  <si>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</si>
  <si>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</si>
  <si>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</si>
  <si>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</si>
  <si>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</si>
  <si>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</si>
  <si>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</si>
  <si>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</si>
  <si>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</si>
  <si>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</si>
  <si>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</si>
  <si>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</si>
  <si>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</si>
  <si>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</si>
  <si>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</si>
  <si>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</si>
  <si>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</si>
  <si>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</si>
  <si>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</si>
  <si>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</si>
  <si>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</si>
  <si>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</si>
  <si>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</si>
  <si>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</si>
  <si>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</si>
  <si>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</si>
  <si>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</si>
  <si>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</si>
  <si>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</si>
  <si>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</si>
  <si>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</si>
  <si>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</si>
  <si>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</si>
  <si>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</si>
  <si>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</si>
  <si>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</si>
  <si>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</si>
  <si>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</si>
  <si>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</si>
  <si>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</si>
  <si>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</si>
  <si>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</si>
  <si>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</si>
  <si>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</si>
  <si>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</si>
  <si>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</si>
  <si>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</si>
  <si>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</si>
  <si>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</si>
  <si>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</si>
  <si>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</si>
  <si>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</si>
  <si>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</si>
  <si>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</si>
  <si>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</si>
  <si>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</si>
  <si>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</si>
  <si>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</si>
  <si>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</si>
  <si>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</si>
  <si>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</si>
  <si>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</si>
  <si>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</si>
  <si>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</si>
  <si>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</si>
  <si>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</si>
  <si>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</si>
  <si>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</si>
  <si>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</si>
  <si>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</si>
  <si>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</si>
  <si>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</si>
  <si>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</si>
  <si>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</si>
  <si>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</si>
  <si>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</si>
  <si>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</si>
  <si>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</si>
  <si>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</si>
  <si>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</si>
  <si>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</si>
  <si>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</si>
  <si>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</si>
  <si>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</si>
  <si>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</si>
  <si>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</si>
  <si>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</si>
  <si>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</si>
  <si>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</si>
  <si>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</si>
  <si>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</si>
  <si>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</si>
  <si>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</si>
  <si>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</si>
  <si>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</si>
  <si>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</si>
  <si>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</si>
  <si>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</si>
  <si>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</si>
  <si>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</si>
  <si>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</si>
  <si>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</si>
  <si>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</si>
  <si>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</si>
  <si>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</si>
  <si>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</si>
  <si>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</si>
  <si>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</si>
  <si>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</si>
  <si>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</si>
  <si>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</si>
  <si>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</si>
  <si>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</si>
  <si>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</si>
  <si>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</si>
  <si>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</si>
  <si>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</si>
  <si>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</si>
  <si>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</si>
  <si>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</si>
  <si>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</si>
  <si>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</si>
  <si>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</si>
  <si>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</si>
  <si>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</si>
  <si>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</si>
  <si>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</si>
  <si>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</si>
  <si>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</si>
  <si>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</si>
  <si>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</si>
  <si>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</si>
  <si>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</si>
  <si>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</si>
  <si>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</si>
  <si>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</si>
  <si>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</si>
  <si>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</si>
  <si>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</si>
  <si>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</si>
  <si>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</si>
  <si>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</si>
  <si>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</si>
  <si>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</si>
  <si>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</si>
  <si>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</si>
  <si>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</si>
  <si>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</si>
  <si>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</si>
  <si>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</si>
  <si>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</si>
  <si>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</si>
  <si>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</si>
  <si>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</si>
  <si>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</si>
  <si>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</si>
  <si>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</si>
  <si>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</si>
  <si>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</si>
  <si>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</si>
  <si>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</si>
  <si>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</si>
  <si>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</si>
  <si>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</si>
  <si>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</si>
  <si>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</si>
  <si>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</si>
  <si>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</si>
  <si>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</si>
  <si>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</si>
  <si>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</si>
  <si>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</si>
  <si>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</si>
  <si>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</si>
  <si>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</si>
  <si>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</si>
  <si>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</si>
  <si>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</si>
  <si>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</si>
  <si>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</si>
  <si>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</si>
  <si>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</si>
  <si>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</si>
  <si>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</si>
  <si>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</si>
  <si>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</si>
  <si>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</si>
  <si>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</si>
  <si>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</si>
  <si>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</si>
  <si>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</si>
  <si>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</si>
  <si>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</si>
  <si>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</si>
  <si>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</si>
  <si>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</si>
  <si>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</si>
  <si>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</si>
  <si>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</si>
  <si>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</si>
  <si>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</si>
  <si>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</si>
  <si>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</si>
  <si>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</si>
  <si>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</si>
  <si>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</si>
  <si>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</si>
  <si>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</si>
  <si>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</si>
  <si>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</si>
  <si>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</si>
  <si>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</si>
  <si>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</si>
  <si>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</si>
  <si>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</si>
  <si>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</si>
  <si>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</si>
  <si>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</si>
  <si>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</si>
  <si>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</si>
  <si>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</si>
  <si>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</si>
  <si>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</si>
  <si>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</si>
  <si>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</si>
  <si>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</si>
  <si>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</si>
  <si>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</si>
  <si>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</si>
  <si>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</si>
  <si>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</si>
  <si>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</si>
  <si>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</si>
  <si>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</si>
  <si>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</si>
  <si>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</si>
  <si>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</si>
  <si>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</si>
  <si>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</si>
  <si>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</si>
  <si>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</si>
  <si>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</si>
  <si>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</si>
  <si>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</si>
  <si>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</si>
  <si>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</si>
  <si>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</si>
  <si>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</si>
  <si>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</si>
  <si>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</si>
  <si>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</si>
  <si>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</si>
  <si>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</si>
  <si>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</si>
  <si>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</si>
  <si>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</si>
  <si>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</si>
  <si>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</si>
  <si>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</si>
  <si>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</si>
  <si>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</si>
  <si>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</si>
  <si>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</si>
  <si>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</si>
  <si>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</si>
  <si>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</si>
  <si>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</si>
  <si>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</si>
  <si>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</si>
  <si>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</si>
  <si>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</si>
  <si>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</si>
  <si>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</si>
  <si>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</si>
  <si>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</si>
  <si>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</si>
  <si>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</si>
  <si>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</si>
  <si>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</si>
  <si>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</si>
  <si>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</si>
  <si>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</si>
  <si>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</si>
  <si>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</si>
  <si>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</si>
  <si>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</si>
  <si>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</si>
  <si>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</si>
  <si>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</si>
  <si>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</si>
  <si>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</si>
  <si>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</si>
  <si>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</si>
  <si>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</si>
  <si>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</si>
  <si>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</si>
  <si>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</si>
  <si>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</si>
  <si>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</si>
  <si>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</si>
  <si>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</si>
  <si>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</si>
  <si>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</si>
  <si>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</si>
  <si>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</si>
  <si>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</si>
  <si>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</si>
  <si>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</si>
  <si>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</si>
  <si>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</si>
  <si>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</si>
  <si>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</si>
  <si>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</si>
  <si>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</si>
  <si>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</si>
  <si>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</si>
  <si>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</si>
  <si>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</si>
  <si>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</si>
  <si>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</si>
  <si>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</si>
  <si>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</si>
  <si>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</si>
  <si>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</si>
  <si>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</si>
  <si>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</si>
  <si>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</si>
  <si>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</si>
  <si>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</si>
  <si>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</si>
  <si>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</si>
  <si>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</si>
  <si>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</si>
  <si>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</si>
  <si>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</si>
  <si>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</si>
  <si>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</si>
  <si>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</si>
  <si>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</si>
  <si>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</si>
  <si>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</si>
  <si>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</si>
  <si>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</si>
  <si>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</si>
  <si>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</si>
  <si>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</si>
  <si>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</si>
  <si>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</si>
  <si>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</si>
  <si>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</si>
  <si>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</si>
  <si>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</si>
  <si>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</si>
  <si>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</si>
  <si>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</si>
  <si>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</si>
  <si>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</si>
  <si>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</si>
  <si>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</si>
  <si>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</si>
  <si>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</si>
  <si>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</si>
  <si>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</si>
  <si>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</si>
  <si>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</si>
  <si>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</si>
  <si>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</si>
  <si>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</si>
  <si>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</si>
  <si>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</si>
  <si>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</si>
  <si>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</si>
  <si>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</si>
  <si>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</si>
  <si>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</si>
  <si>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</si>
  <si>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</si>
  <si>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</si>
  <si>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</si>
  <si>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</si>
  <si>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</si>
  <si>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</si>
  <si>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</si>
  <si>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</si>
  <si>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</si>
  <si>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</si>
  <si>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</si>
  <si>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</si>
  <si>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</si>
  <si>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</si>
  <si>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</si>
  <si>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</si>
  <si>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</si>
  <si>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</si>
  <si>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</si>
  <si>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</si>
  <si>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</si>
  <si>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</si>
  <si>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</si>
  <si>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</si>
  <si>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</si>
  <si>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</si>
  <si>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</si>
  <si>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</si>
  <si>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</si>
  <si>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</si>
  <si>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</si>
  <si>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</si>
  <si>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</si>
  <si>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</si>
  <si>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</si>
  <si>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</si>
  <si>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</si>
  <si>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</si>
  <si>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</si>
  <si>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</si>
  <si>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</si>
  <si>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</si>
  <si>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</si>
  <si>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</si>
  <si>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</si>
  <si>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</si>
  <si>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</si>
  <si>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</si>
  <si>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</si>
  <si>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</si>
  <si>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</si>
  <si>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</si>
  <si>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</si>
  <si>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</si>
  <si>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</si>
  <si>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</si>
  <si>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</si>
  <si>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</si>
  <si>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</si>
  <si>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</si>
  <si>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</si>
  <si>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</si>
  <si>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</si>
  <si>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</si>
  <si>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</si>
  <si>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</si>
  <si>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</si>
  <si>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</si>
  <si>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</si>
  <si>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</si>
  <si>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</si>
  <si>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</si>
  <si>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</si>
  <si>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</si>
  <si>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</si>
  <si>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</si>
  <si>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</si>
  <si>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</si>
  <si>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</si>
  <si>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</si>
  <si>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</si>
  <si>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</si>
  <si>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</si>
  <si>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</si>
  <si>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</si>
  <si>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</si>
  <si>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</si>
  <si>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</si>
  <si>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</si>
  <si>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</si>
  <si>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</si>
  <si>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</si>
  <si>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</si>
  <si>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</si>
  <si>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</si>
  <si>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</si>
  <si>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</si>
  <si>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</si>
  <si>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</si>
  <si>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</si>
  <si>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</si>
  <si>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</si>
  <si>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</si>
  <si>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</si>
  <si>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</si>
  <si>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</si>
  <si>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</si>
  <si>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</si>
  <si>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</si>
  <si>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</si>
  <si>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</si>
  <si>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</si>
  <si>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</si>
  <si>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</si>
  <si>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</si>
  <si>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</si>
  <si>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</si>
  <si>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</si>
  <si>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</si>
  <si>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</si>
  <si>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</si>
  <si>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</si>
  <si>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</si>
  <si>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</si>
  <si>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</si>
  <si>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</si>
  <si>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</si>
  <si>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</si>
  <si>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</si>
  <si>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</si>
  <si>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</si>
  <si>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</si>
  <si>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</si>
  <si>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</si>
  <si>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</si>
  <si>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</si>
  <si>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</si>
  <si>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</si>
  <si>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</si>
  <si>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</si>
  <si>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</si>
  <si>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</si>
  <si>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</si>
  <si>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</si>
  <si>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</si>
  <si>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</si>
  <si>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</si>
  <si>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</si>
  <si>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</si>
  <si>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</si>
  <si>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</si>
  <si>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</si>
  <si>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</si>
  <si>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</si>
  <si>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</si>
  <si>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</si>
  <si>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</si>
  <si>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</si>
  <si>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</si>
  <si>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</si>
  <si>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</si>
  <si>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</si>
  <si>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</si>
  <si>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</si>
  <si>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</si>
  <si>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</si>
  <si>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</si>
  <si>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</si>
  <si>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</si>
  <si>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</si>
  <si>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</si>
  <si>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</si>
  <si>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</si>
  <si>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</si>
  <si>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</si>
  <si>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</si>
  <si>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</si>
  <si>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</si>
  <si>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</si>
  <si>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</si>
  <si>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</si>
  <si>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</si>
  <si>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</si>
  <si>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</si>
  <si>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</si>
  <si>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</si>
  <si>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</si>
  <si>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</si>
  <si>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</si>
  <si>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</si>
  <si>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</si>
  <si>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</si>
  <si>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</si>
  <si>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</si>
  <si>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</si>
  <si>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</si>
  <si>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</si>
  <si>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</si>
  <si>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</si>
  <si>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</si>
  <si>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</si>
  <si>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</si>
  <si>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</si>
  <si>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</si>
  <si>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</si>
  <si>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</si>
  <si>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</si>
  <si>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</si>
  <si>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</si>
  <si>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</si>
  <si>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</si>
  <si>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</si>
  <si>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</si>
  <si>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</si>
  <si>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</si>
  <si>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</si>
  <si>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</si>
  <si>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</si>
  <si>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</si>
  <si>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</si>
  <si>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</si>
  <si>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</si>
  <si>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</si>
  <si>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</si>
  <si>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</si>
  <si>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</si>
  <si>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</si>
  <si>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</si>
  <si>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</si>
  <si>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</si>
  <si>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</si>
  <si>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</si>
  <si>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</si>
  <si>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</si>
  <si>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</si>
  <si>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</si>
  <si>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</si>
  <si>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</si>
  <si>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</si>
  <si>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</si>
  <si>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</si>
  <si>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</si>
  <si>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</si>
  <si>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</si>
  <si>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</si>
  <si>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</si>
  <si>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</si>
  <si>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</si>
  <si>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</si>
  <si>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</si>
  <si>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</si>
  <si>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</si>
  <si>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</si>
  <si>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</si>
  <si>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</si>
  <si>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</si>
  <si>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</si>
  <si>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</si>
  <si>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</si>
  <si>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</si>
  <si>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</si>
  <si>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</si>
  <si>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</si>
  <si>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</si>
  <si>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</si>
  <si>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</si>
  <si>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</si>
  <si>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</si>
  <si>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</si>
  <si>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</si>
  <si>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</si>
  <si>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</si>
  <si>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</si>
  <si>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</si>
  <si>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</si>
  <si>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</si>
  <si>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</si>
  <si>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</si>
  <si>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</si>
  <si>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</si>
  <si>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</si>
  <si>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</si>
  <si>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</si>
  <si>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</si>
  <si>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</si>
  <si>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</si>
  <si>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</si>
  <si>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</si>
  <si>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</si>
  <si>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</si>
  <si>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</si>
  <si>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</si>
  <si>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</si>
  <si>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</si>
  <si>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</si>
  <si>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</si>
  <si>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</si>
  <si>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</si>
  <si>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</si>
  <si>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</si>
  <si>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</si>
  <si>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</si>
  <si>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</si>
  <si>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</si>
  <si>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</si>
  <si>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</si>
  <si>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</si>
  <si>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</si>
  <si>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</si>
  <si>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</si>
  <si>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</si>
  <si>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</si>
  <si>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</si>
  <si>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</si>
  <si>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</si>
  <si>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</si>
  <si>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</si>
  <si>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</si>
  <si>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</si>
  <si>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</si>
  <si>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</si>
  <si>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</si>
  <si>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</si>
  <si>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</si>
  <si>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</si>
  <si>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</si>
  <si>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</si>
  <si>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</si>
  <si>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</si>
  <si>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</si>
  <si>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</si>
  <si>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</si>
  <si>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</si>
  <si>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</si>
  <si>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</si>
  <si>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</si>
  <si>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</si>
  <si>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</si>
  <si>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</si>
  <si>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</si>
  <si>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</si>
  <si>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</si>
  <si>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</si>
  <si>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</si>
  <si>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</si>
  <si>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</si>
  <si>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</si>
  <si>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</si>
  <si>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</si>
  <si>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</si>
  <si>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</si>
  <si>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</si>
  <si>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</si>
  <si>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</si>
  <si>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</si>
  <si>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</si>
  <si>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</si>
  <si>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</si>
  <si>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</si>
  <si>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</si>
  <si>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</si>
  <si>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</si>
  <si>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</si>
  <si>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</si>
  <si>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</si>
  <si>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</si>
  <si>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</si>
  <si>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</si>
  <si>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</si>
  <si>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</si>
  <si>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</si>
  <si>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</si>
  <si>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</si>
  <si>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</si>
  <si>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</si>
  <si>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</si>
  <si>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</si>
  <si>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</si>
  <si>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</si>
  <si>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</si>
  <si>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</si>
  <si>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</si>
  <si>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</si>
  <si>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</si>
  <si>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</si>
  <si>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</si>
  <si>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</si>
  <si>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</si>
  <si>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</si>
  <si>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</si>
  <si>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</si>
  <si>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</si>
  <si>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</si>
  <si>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</si>
  <si>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</si>
  <si>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</si>
  <si>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</si>
  <si>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</si>
  <si>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</si>
  <si>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</si>
  <si>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</si>
  <si>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</si>
  <si>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</si>
  <si>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</si>
  <si>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</si>
  <si>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</si>
  <si>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</si>
  <si>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</si>
  <si>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</si>
  <si>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</si>
  <si>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</si>
  <si>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</si>
  <si>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</si>
  <si>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</si>
  <si>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</si>
  <si>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</si>
  <si>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</si>
  <si>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</si>
  <si>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</si>
  <si>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</si>
  <si>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</si>
  <si>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</si>
  <si>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</si>
  <si>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</si>
  <si>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</si>
  <si>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</si>
  <si>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</si>
  <si>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</si>
  <si>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</si>
  <si>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</si>
  <si>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</si>
  <si>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</si>
  <si>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</si>
  <si>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</si>
  <si>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</si>
  <si>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</si>
  <si>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</si>
  <si>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</si>
  <si>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</si>
  <si>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</si>
  <si>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</si>
  <si>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</si>
  <si>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</si>
  <si>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</si>
  <si>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</si>
  <si>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</si>
  <si>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</si>
  <si>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</si>
  <si>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</si>
  <si>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</si>
  <si>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</si>
  <si>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</si>
  <si>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</si>
  <si>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</si>
  <si>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</si>
  <si>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</si>
  <si>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</si>
  <si>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</si>
  <si>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</si>
  <si>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</si>
  <si>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</si>
  <si>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</si>
  <si>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</si>
  <si>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</si>
  <si>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</si>
  <si>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</si>
  <si>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</si>
  <si>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</si>
  <si>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</si>
  <si>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</si>
  <si>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</si>
  <si>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</si>
  <si>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</si>
  <si>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</si>
  <si>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</si>
  <si>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</si>
  <si>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</si>
  <si>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</si>
  <si>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</si>
  <si>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</si>
  <si>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</si>
  <si>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</si>
  <si>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</si>
  <si>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</si>
  <si>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</si>
  <si>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</si>
  <si>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</si>
  <si>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</si>
  <si>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</si>
  <si>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</si>
  <si>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</si>
  <si>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</si>
  <si>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</si>
  <si>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</si>
  <si>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</si>
  <si>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</si>
  <si>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</si>
  <si>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</si>
  <si>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</si>
  <si>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</si>
  <si>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</si>
  <si>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</si>
  <si>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</si>
  <si>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</si>
  <si>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</si>
  <si>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</si>
  <si>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</si>
  <si>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</si>
  <si>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</si>
  <si>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</si>
  <si>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</si>
  <si>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</si>
  <si>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</si>
  <si>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</si>
  <si>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</si>
  <si>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</si>
  <si>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</si>
  <si>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</si>
  <si>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</si>
  <si>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</si>
  <si>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</si>
  <si>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</si>
  <si>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</si>
  <si>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</si>
  <si>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</si>
  <si>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</si>
  <si>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</si>
  <si>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</si>
  <si>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</si>
  <si>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</si>
  <si>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</si>
  <si>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</si>
  <si>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</si>
  <si>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</si>
  <si>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</si>
  <si>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</si>
  <si>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</si>
  <si>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</si>
  <si>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</si>
  <si>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</si>
  <si>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</si>
  <si>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</si>
  <si>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</si>
  <si>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</si>
  <si>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</si>
  <si>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</si>
  <si>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</si>
  <si>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</si>
  <si>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</si>
  <si>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</si>
  <si>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</si>
  <si>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</si>
  <si>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</si>
  <si>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</si>
  <si>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</si>
  <si>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</si>
  <si>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</si>
  <si>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</si>
  <si>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</si>
  <si>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</si>
  <si>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</si>
  <si>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</si>
  <si>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</si>
  <si>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</si>
  <si>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</si>
  <si>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</si>
  <si>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</si>
  <si>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</si>
  <si>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</si>
  <si>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</si>
  <si>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</si>
  <si>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</si>
  <si>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</si>
  <si>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</si>
  <si>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</si>
  <si>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</si>
  <si>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</si>
  <si>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</si>
  <si>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</si>
  <si>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</si>
  <si>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</si>
  <si>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</si>
  <si>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</si>
  <si>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</si>
  <si>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</si>
  <si>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</si>
  <si>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</si>
  <si>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</si>
  <si>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</si>
  <si>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</si>
  <si>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</si>
  <si>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</si>
  <si>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</si>
  <si>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</si>
  <si>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</si>
  <si>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</si>
  <si>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</si>
  <si>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</si>
  <si>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</si>
  <si>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</si>
  <si>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</si>
  <si>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</si>
  <si>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</si>
  <si>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</si>
  <si>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</si>
  <si>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</si>
  <si>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</si>
  <si>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</si>
  <si>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</si>
  <si>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</si>
  <si>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</si>
  <si>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</si>
  <si>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</si>
  <si>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</si>
  <si>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</si>
  <si>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</si>
  <si>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</si>
  <si>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</si>
  <si>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</si>
  <si>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</si>
  <si>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</si>
  <si>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</si>
  <si>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</si>
  <si>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</si>
  <si>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</si>
  <si>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</si>
  <si>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</si>
  <si>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</si>
  <si>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</si>
  <si>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</si>
  <si>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</si>
  <si>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</si>
  <si>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</si>
  <si>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</si>
  <si>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</si>
  <si>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</si>
  <si>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</si>
  <si>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</si>
  <si>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</si>
  <si>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</si>
  <si>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</si>
  <si>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</si>
  <si>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</si>
  <si>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</si>
  <si>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</si>
  <si>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</si>
  <si>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</si>
  <si>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</si>
  <si>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</si>
  <si>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</si>
  <si>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</si>
  <si>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</si>
  <si>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</si>
  <si>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</si>
  <si>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</si>
  <si>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</si>
  <si>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</si>
  <si>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</si>
  <si>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</si>
  <si>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</si>
  <si>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</si>
  <si>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</si>
  <si>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</si>
  <si>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</si>
  <si>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</si>
  <si>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</si>
  <si>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</si>
  <si>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</si>
  <si>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</si>
  <si>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</si>
  <si>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</si>
  <si>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</si>
  <si>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</si>
  <si>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</si>
  <si>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</si>
  <si>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</si>
  <si>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</si>
  <si>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</si>
  <si>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</si>
  <si>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</si>
  <si>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</si>
  <si>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</si>
  <si>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</si>
  <si>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</si>
  <si>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</si>
  <si>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</si>
  <si>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</si>
  <si>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</si>
  <si>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</si>
  <si>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</si>
  <si>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</si>
  <si>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</si>
  <si>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</si>
  <si>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</si>
  <si>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</si>
  <si>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</si>
  <si>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</si>
  <si>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</si>
  <si>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</si>
  <si>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</si>
  <si>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</si>
  <si>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</si>
  <si>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</si>
  <si>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</si>
  <si>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</si>
  <si>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</si>
  <si>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</si>
  <si>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</si>
  <si>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</si>
  <si>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</si>
  <si>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</si>
  <si>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</si>
  <si>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</si>
  <si>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</si>
  <si>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</si>
  <si>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</si>
  <si>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</si>
  <si>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</si>
  <si>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</si>
  <si>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</si>
  <si>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</si>
  <si>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</si>
  <si>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</si>
  <si>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</si>
  <si>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</si>
  <si>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</si>
  <si>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</si>
  <si>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</si>
  <si>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</si>
  <si>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</si>
  <si>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</si>
  <si>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</si>
  <si>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</si>
  <si>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</si>
  <si>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</si>
  <si>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</si>
  <si>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</si>
  <si>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</si>
  <si>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</si>
  <si>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</si>
  <si>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</si>
  <si>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</si>
  <si>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</si>
  <si>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</si>
  <si>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</si>
  <si>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</si>
  <si>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</si>
  <si>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</si>
  <si>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</si>
  <si>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</si>
  <si>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</si>
  <si>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</si>
  <si>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</si>
  <si>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</si>
  <si>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</si>
  <si>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</si>
  <si>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</si>
  <si>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</si>
  <si>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</si>
  <si>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</si>
  <si>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</si>
  <si>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</si>
  <si>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</si>
  <si>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</si>
  <si>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</si>
  <si>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</si>
  <si>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</si>
  <si>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</si>
  <si>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</si>
  <si>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</si>
  <si>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</si>
  <si>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</si>
  <si>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</si>
  <si>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</si>
  <si>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</si>
  <si>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</si>
  <si>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</si>
  <si>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</si>
  <si>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</si>
  <si>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</si>
  <si>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</si>
  <si>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</si>
  <si>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</si>
  <si>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</si>
  <si>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</si>
  <si>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</si>
  <si>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</si>
  <si>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</si>
  <si>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</si>
  <si>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</si>
  <si>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</si>
  <si>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</si>
  <si>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</si>
  <si>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</si>
  <si>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</si>
  <si>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</si>
  <si>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</si>
  <si>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</si>
  <si>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</si>
  <si>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</si>
  <si>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</si>
  <si>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</si>
  <si>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</si>
  <si>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</si>
  <si>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</si>
  <si>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</si>
  <si>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</si>
  <si>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</si>
  <si>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</si>
  <si>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</si>
  <si>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</si>
  <si>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</si>
  <si>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</si>
  <si>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</si>
  <si>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</si>
  <si>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</si>
  <si>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</si>
  <si>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</si>
  <si>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</si>
  <si>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</si>
  <si>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</si>
  <si>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</si>
  <si>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</si>
  <si>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</si>
  <si>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</si>
  <si>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</si>
  <si>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</si>
  <si>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</si>
  <si>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</si>
  <si>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</si>
  <si>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</si>
  <si>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</si>
  <si>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</si>
  <si>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</si>
  <si>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</si>
  <si>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</si>
  <si>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</si>
  <si>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</si>
  <si>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</si>
  <si>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</si>
  <si>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</si>
  <si>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</si>
  <si>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</si>
  <si>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</si>
  <si>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</si>
  <si>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</si>
  <si>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</si>
  <si>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</si>
  <si>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</si>
  <si>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</si>
  <si>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</si>
  <si>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</si>
  <si>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</si>
  <si>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</si>
  <si>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</si>
  <si>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</si>
  <si>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</si>
  <si>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</si>
  <si>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</si>
  <si>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</si>
  <si>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</si>
  <si>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</si>
  <si>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</si>
  <si>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</si>
  <si>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</si>
  <si>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</si>
  <si>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</si>
  <si>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</si>
  <si>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</si>
  <si>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</si>
  <si>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</si>
  <si>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</si>
  <si>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</si>
  <si>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</si>
  <si>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</si>
  <si>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</si>
  <si>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</si>
  <si>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</si>
  <si>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</si>
  <si>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</si>
  <si>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</si>
  <si>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</si>
  <si>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</si>
  <si>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</si>
  <si>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</si>
  <si>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</si>
  <si>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</si>
  <si>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</si>
  <si>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</si>
  <si>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</si>
  <si>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</si>
  <si>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</si>
  <si>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</si>
  <si>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</si>
  <si>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</si>
  <si>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</si>
  <si>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</si>
  <si>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</si>
  <si>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</si>
  <si>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</si>
  <si>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</si>
  <si>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</si>
  <si>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</si>
  <si>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</si>
  <si>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</si>
  <si>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</si>
  <si>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</si>
  <si>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</si>
  <si>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</si>
  <si>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</si>
  <si>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</si>
  <si>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</si>
  <si>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</si>
  <si>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</si>
  <si>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</si>
  <si>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</si>
  <si>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</si>
  <si>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</si>
  <si>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</si>
  <si>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</si>
  <si>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</si>
  <si>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</si>
  <si>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</si>
  <si>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</si>
  <si>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</si>
  <si>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</si>
  <si>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</si>
  <si>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</si>
  <si>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</si>
  <si>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</si>
  <si>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</si>
  <si>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</si>
  <si>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</si>
  <si>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</si>
  <si>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</si>
  <si>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</si>
  <si>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</si>
  <si>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</si>
  <si>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</si>
  <si>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</si>
  <si>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</si>
  <si>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</si>
  <si>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</si>
  <si>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</si>
  <si>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</si>
  <si>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</si>
  <si>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</si>
  <si>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</si>
  <si>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</si>
  <si>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</si>
  <si>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</si>
  <si>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</si>
  <si>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</si>
  <si>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</si>
  <si>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</si>
  <si>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</si>
  <si>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</si>
  <si>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</si>
  <si>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</si>
  <si>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</si>
  <si>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</si>
  <si>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</si>
  <si>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</si>
  <si>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</si>
  <si>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</si>
  <si>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</si>
  <si>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</si>
  <si>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</si>
  <si>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</si>
  <si>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</si>
  <si>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</si>
  <si>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</si>
  <si>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</si>
  <si>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</si>
  <si>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</si>
  <si>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</si>
  <si>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</si>
  <si>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</si>
  <si>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</si>
  <si>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</si>
  <si>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</si>
  <si>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</si>
  <si>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</si>
  <si>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</si>
  <si>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</si>
  <si>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</si>
  <si>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</si>
  <si>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</si>
  <si>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</si>
  <si>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</si>
  <si>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</si>
  <si>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</si>
  <si>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</si>
  <si>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</si>
  <si>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</si>
  <si>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</si>
  <si>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</si>
  <si>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</si>
  <si>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</si>
  <si>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</si>
  <si>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</si>
  <si>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</si>
  <si>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</si>
  <si>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</si>
  <si>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</si>
  <si>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</si>
  <si>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</si>
  <si>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</si>
  <si>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</si>
  <si>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</si>
  <si>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</si>
  <si>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</si>
  <si>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</si>
  <si>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</si>
  <si>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</si>
  <si>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</si>
  <si>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</si>
  <si>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</si>
  <si>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</si>
  <si>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</si>
  <si>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</si>
  <si>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</si>
  <si>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</si>
  <si>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</si>
  <si>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</si>
  <si>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</si>
  <si>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</si>
  <si>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</si>
  <si>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</si>
  <si>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</si>
  <si>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</si>
  <si>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</si>
  <si>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</si>
  <si>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</si>
  <si>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</si>
  <si>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</si>
  <si>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</si>
  <si>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</si>
  <si>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</si>
  <si>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</si>
  <si>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</si>
  <si>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</si>
  <si>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</si>
  <si>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</si>
  <si>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</si>
  <si>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</si>
  <si>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</si>
  <si>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</si>
  <si>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</si>
  <si>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</si>
  <si>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</si>
  <si>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</si>
  <si>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</si>
  <si>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</si>
  <si>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</si>
  <si>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</si>
  <si>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</si>
  <si>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</si>
  <si>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</si>
  <si>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</si>
  <si>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</si>
  <si>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</si>
  <si>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</si>
  <si>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</si>
  <si>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</si>
  <si>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</si>
  <si>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</si>
  <si>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</si>
  <si>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</si>
  <si>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</si>
  <si>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</si>
  <si>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</si>
  <si>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</si>
  <si>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</si>
  <si>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</si>
  <si>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</si>
  <si>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</si>
  <si>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</si>
  <si>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</si>
  <si>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</si>
  <si>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</si>
  <si>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</si>
  <si>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</si>
  <si>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</si>
  <si>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</si>
  <si>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</si>
  <si>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</si>
  <si>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</si>
  <si>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</si>
  <si>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</si>
  <si>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</si>
  <si>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</si>
  <si>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</si>
  <si>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</si>
  <si>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</si>
  <si>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</si>
  <si>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</si>
  <si>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</si>
  <si>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</si>
  <si>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</si>
  <si>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</si>
  <si>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</si>
  <si>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</si>
  <si>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</si>
  <si>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</si>
  <si>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</si>
  <si>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</si>
  <si>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</si>
  <si>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</si>
  <si>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</si>
  <si>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</si>
  <si>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</si>
  <si>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</si>
  <si>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</si>
  <si>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</si>
  <si>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</si>
  <si>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</si>
  <si>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</si>
  <si>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</si>
  <si>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</si>
  <si>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</si>
  <si>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</si>
  <si>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</si>
  <si>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</si>
  <si>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</si>
  <si>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</si>
  <si>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</si>
  <si>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</si>
  <si>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</si>
  <si>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</si>
  <si>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</si>
  <si>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</si>
  <si>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</si>
  <si>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</si>
  <si>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</si>
  <si>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</si>
  <si>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</si>
  <si>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</si>
  <si>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</si>
  <si>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</si>
  <si>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</si>
  <si>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</si>
  <si>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</si>
  <si>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</si>
  <si>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</si>
  <si>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</si>
  <si>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</si>
  <si>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</si>
  <si>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</si>
  <si>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</si>
  <si>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</si>
  <si>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</si>
  <si>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</si>
  <si>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</si>
  <si>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</si>
  <si>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</si>
  <si>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</si>
  <si>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</si>
  <si>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</si>
  <si>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</si>
  <si>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</si>
  <si>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</si>
  <si>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</si>
  <si>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</si>
  <si>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</si>
  <si>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</si>
  <si>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</si>
  <si>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</si>
  <si>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</si>
  <si>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</si>
  <si>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</si>
  <si>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</si>
  <si>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</si>
  <si>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</si>
  <si>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</si>
  <si>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</si>
  <si>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</si>
  <si>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</si>
  <si>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</si>
  <si>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</si>
  <si>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</si>
  <si>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</si>
  <si>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</si>
  <si>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</si>
  <si>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</si>
  <si>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</si>
  <si>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</si>
  <si>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</si>
  <si>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</si>
  <si>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</si>
  <si>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</si>
  <si>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</si>
  <si>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</si>
  <si>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</si>
  <si>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</si>
  <si>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</si>
  <si>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</si>
  <si>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</si>
  <si>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</si>
  <si>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</si>
  <si>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</si>
  <si>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</si>
  <si>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</si>
  <si>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</si>
  <si>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</si>
  <si>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</si>
  <si>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</si>
  <si>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</si>
  <si>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</si>
  <si>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</si>
  <si>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</si>
  <si>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</si>
  <si>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</si>
  <si>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</si>
  <si>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</si>
  <si>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</si>
  <si>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</si>
  <si>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</si>
  <si>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</si>
  <si>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</si>
  <si>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</si>
  <si>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</si>
  <si>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</si>
  <si>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</si>
  <si>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</si>
  <si>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</si>
  <si>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</si>
  <si>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</si>
  <si>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</si>
  <si>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</si>
  <si>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</si>
  <si>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</si>
  <si>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</si>
  <si>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</si>
  <si>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</si>
  <si>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</si>
  <si>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</si>
  <si>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</si>
  <si>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</si>
  <si>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</si>
  <si>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</si>
  <si>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</si>
  <si>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</si>
  <si>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</si>
  <si>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</si>
  <si>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</si>
  <si>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</si>
  <si>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</si>
  <si>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</si>
  <si>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</si>
  <si>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</si>
  <si>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</si>
  <si>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</si>
  <si>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</si>
  <si>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</si>
  <si>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</si>
  <si>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</si>
  <si>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</si>
  <si>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</si>
  <si>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</si>
  <si>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</si>
  <si>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</si>
  <si>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</si>
  <si>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</si>
  <si>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</si>
  <si>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</si>
  <si>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</si>
  <si>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</si>
  <si>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</si>
  <si>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</si>
  <si>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</si>
  <si>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</si>
  <si>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</si>
  <si>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</si>
  <si>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</si>
  <si>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</si>
  <si>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</si>
  <si>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</si>
  <si>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</si>
  <si>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</si>
  <si>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</si>
  <si>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</si>
  <si>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</si>
  <si>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</si>
  <si>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</si>
  <si>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</si>
  <si>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</si>
  <si>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</si>
  <si>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</si>
  <si>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</si>
  <si>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</si>
  <si>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</si>
  <si>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</si>
  <si>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</si>
  <si>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</si>
  <si>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</si>
  <si>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</si>
  <si>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</si>
  <si>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</si>
  <si>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</si>
  <si>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</si>
  <si>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</si>
  <si>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</si>
  <si>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</si>
  <si>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</si>
  <si>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</si>
  <si>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</si>
  <si>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</si>
  <si>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</si>
  <si>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</si>
  <si>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</si>
  <si>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</si>
  <si>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</si>
  <si>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</si>
  <si>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</si>
  <si>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</si>
  <si>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</si>
  <si>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</si>
  <si>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</si>
  <si>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</si>
  <si>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</si>
  <si>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</si>
  <si>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</si>
  <si>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</si>
  <si>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</si>
  <si>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</si>
  <si>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</si>
  <si>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</si>
  <si>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</si>
  <si>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</si>
  <si>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</si>
  <si>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</si>
  <si>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</si>
  <si>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</si>
  <si>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</si>
  <si>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</si>
  <si>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</si>
  <si>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</si>
  <si>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</si>
  <si>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</si>
  <si>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</si>
  <si>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</si>
  <si>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</si>
  <si>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</si>
  <si>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</si>
  <si>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</si>
  <si>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</si>
  <si>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</si>
  <si>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</si>
  <si>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</si>
  <si>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</si>
  <si>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</si>
  <si>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</si>
  <si>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</si>
  <si>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</si>
  <si>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</si>
  <si>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</si>
  <si>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</si>
  <si>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</si>
  <si>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</si>
  <si>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</si>
  <si>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</si>
  <si>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</si>
  <si>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</si>
  <si>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</si>
  <si>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</si>
  <si>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</si>
  <si>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</si>
  <si>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</si>
  <si>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</si>
  <si>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</si>
  <si>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</si>
  <si>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</si>
  <si>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</si>
  <si>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</si>
  <si>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</si>
  <si>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</si>
  <si>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</si>
  <si>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</si>
  <si>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</si>
  <si>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</si>
  <si>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</si>
  <si>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</si>
  <si>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</si>
  <si>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</si>
  <si>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</si>
  <si>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</si>
  <si>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</si>
  <si>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</si>
  <si>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</si>
  <si>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</si>
  <si>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</si>
  <si>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</si>
  <si>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</si>
  <si>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</si>
  <si>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</si>
  <si>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</si>
  <si>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</si>
  <si>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</si>
  <si>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</si>
  <si>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</si>
  <si>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</si>
  <si>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</si>
  <si>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</si>
  <si>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</si>
  <si>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</si>
  <si>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</si>
  <si>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</si>
  <si>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</si>
  <si>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</si>
  <si>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</si>
  <si>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</si>
  <si>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</si>
  <si>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</si>
  <si>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</si>
  <si>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</si>
  <si>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</si>
  <si>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</si>
  <si>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</si>
  <si>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</si>
  <si>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</si>
  <si>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</si>
  <si>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</si>
  <si>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</si>
  <si>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</si>
  <si>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</si>
  <si>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</si>
  <si>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</si>
  <si>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</si>
  <si>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</si>
  <si>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</si>
  <si>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</si>
  <si>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</si>
  <si>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</si>
  <si>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</si>
  <si>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</si>
  <si>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</si>
  <si>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</si>
  <si>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</si>
  <si>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</si>
  <si>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</si>
  <si>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</si>
  <si>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</si>
  <si>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</si>
  <si>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</si>
  <si>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</si>
  <si>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</si>
  <si>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</si>
  <si>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</si>
  <si>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</si>
  <si>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</si>
  <si>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</si>
  <si>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</si>
  <si>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</si>
  <si>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</si>
  <si>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</si>
  <si>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</si>
  <si>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</si>
  <si>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</si>
  <si>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</si>
  <si>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</si>
  <si>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</si>
  <si>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</si>
  <si>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</si>
  <si>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</si>
  <si>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</si>
  <si>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</si>
  <si>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</si>
  <si>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</si>
  <si>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</si>
  <si>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</si>
  <si>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</si>
  <si>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</si>
  <si>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</si>
  <si>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</si>
  <si>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</si>
  <si>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</si>
  <si>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</si>
  <si>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</si>
  <si>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</si>
  <si>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</si>
  <si>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</si>
  <si>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</si>
  <si>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</si>
  <si>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</si>
  <si>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</si>
  <si>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</si>
  <si>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</si>
  <si>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</si>
  <si>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</si>
  <si>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</si>
  <si>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</si>
  <si>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</si>
  <si>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</si>
  <si>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</si>
  <si>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</si>
  <si>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</si>
  <si>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</si>
  <si>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</si>
  <si>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</si>
  <si>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</si>
  <si>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</si>
  <si>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</si>
  <si>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</si>
  <si>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</si>
  <si>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</si>
  <si>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</si>
  <si>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</si>
  <si>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</si>
  <si>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</si>
  <si>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</si>
  <si>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</si>
  <si>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</si>
  <si>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</si>
  <si>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</si>
  <si>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</si>
  <si>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</si>
  <si>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</si>
  <si>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</si>
  <si>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</si>
  <si>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</si>
  <si>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</si>
  <si>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</si>
  <si>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</si>
  <si>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</si>
  <si>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</si>
  <si>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</si>
  <si>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</si>
  <si>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</si>
  <si>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</si>
  <si>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</si>
  <si>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</si>
  <si>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</si>
  <si>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</si>
  <si>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</si>
  <si>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</si>
  <si>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</si>
  <si>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</si>
  <si>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</si>
  <si>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</si>
  <si>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</si>
  <si>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</si>
  <si>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</si>
  <si>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</si>
  <si>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</si>
  <si>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</si>
  <si>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</si>
  <si>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</si>
  <si>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</si>
  <si>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</si>
  <si>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</si>
  <si>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</si>
  <si>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</si>
  <si>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</si>
  <si>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</si>
  <si>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</si>
  <si>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</si>
  <si>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</si>
  <si>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</si>
  <si>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</si>
  <si>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</si>
  <si>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</si>
  <si>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</si>
  <si>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</si>
  <si>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</si>
  <si>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</si>
  <si>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</si>
  <si>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</si>
  <si>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</si>
  <si>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</si>
  <si>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</si>
  <si>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</si>
  <si>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</si>
  <si>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</si>
  <si>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</si>
  <si>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</si>
  <si>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</si>
  <si>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</si>
  <si>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</si>
  <si>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</si>
  <si>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</si>
  <si>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</si>
  <si>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</si>
  <si>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</si>
  <si>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</si>
  <si>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</si>
  <si>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</si>
  <si>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</si>
  <si>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</si>
  <si>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</si>
  <si>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</si>
  <si>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</si>
  <si>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</si>
  <si>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</si>
  <si>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</si>
  <si>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</si>
  <si>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</si>
  <si>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</si>
  <si>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</si>
  <si>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</si>
  <si>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</si>
  <si>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</si>
  <si>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</si>
  <si>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</si>
  <si>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</si>
  <si>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</si>
  <si>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</si>
  <si>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</si>
  <si>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</si>
  <si>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</si>
  <si>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</si>
  <si>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</si>
  <si>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</si>
  <si>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</si>
  <si>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</si>
  <si>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</si>
  <si>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</si>
  <si>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</si>
  <si>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</si>
  <si>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</si>
  <si>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</si>
  <si>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</si>
  <si>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</si>
  <si>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</si>
  <si>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</si>
  <si>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</si>
  <si>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</si>
  <si>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</si>
  <si>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</si>
  <si>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</si>
  <si>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</si>
  <si>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</si>
  <si>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</si>
  <si>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</si>
  <si>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</si>
  <si>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</si>
  <si>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</si>
  <si>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</si>
  <si>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</si>
  <si>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</si>
  <si>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</si>
  <si>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</si>
  <si>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</si>
  <si>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</si>
  <si>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</si>
  <si>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</si>
  <si>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</si>
  <si>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</si>
  <si>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</si>
  <si>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</si>
  <si>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</si>
  <si>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</si>
  <si>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</si>
  <si>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</si>
  <si>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</si>
  <si>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</si>
  <si>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</si>
  <si>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</si>
  <si>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</si>
  <si>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</si>
  <si>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</si>
  <si>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</si>
  <si>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</si>
  <si>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</si>
  <si>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</si>
  <si>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</si>
  <si>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</si>
  <si>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</si>
  <si>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</si>
  <si>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</si>
  <si>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</si>
  <si>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</si>
  <si>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</si>
  <si>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</si>
  <si>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</si>
  <si>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</si>
  <si>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</si>
  <si>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</si>
  <si>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</si>
  <si>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</si>
  <si>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</si>
  <si>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</si>
  <si>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</si>
  <si>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</si>
  <si>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</si>
  <si>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</si>
  <si>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</si>
  <si>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</si>
  <si>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</si>
  <si>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</si>
  <si>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</si>
  <si>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</si>
  <si>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</si>
  <si>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</si>
  <si>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</si>
  <si>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</si>
  <si>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</si>
  <si>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</si>
  <si>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</si>
  <si>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</si>
  <si>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</si>
  <si>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</si>
  <si>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</si>
  <si>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</si>
  <si>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</si>
  <si>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</si>
  <si>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</si>
  <si>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</si>
  <si>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</si>
  <si>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</si>
  <si>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</si>
  <si>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</si>
  <si>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</si>
  <si>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</si>
  <si>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</si>
  <si>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</si>
  <si>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</si>
  <si>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</si>
  <si>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</si>
  <si>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</si>
  <si>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</si>
  <si>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</si>
  <si>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</si>
  <si>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</si>
  <si>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</si>
  <si>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</si>
  <si>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</si>
  <si>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</si>
  <si>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</si>
  <si>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</si>
  <si>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</si>
  <si>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</si>
  <si>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</si>
  <si>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</si>
  <si>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</si>
  <si>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</si>
  <si>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</si>
  <si>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</si>
  <si>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</si>
  <si>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</si>
  <si>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</si>
  <si>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</si>
  <si>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</si>
  <si>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</si>
  <si>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</si>
  <si>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</si>
  <si>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</si>
  <si>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</si>
  <si>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</si>
  <si>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</si>
  <si>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</si>
  <si>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</si>
  <si>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</si>
  <si>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</si>
  <si>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</si>
  <si>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</si>
  <si>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</si>
  <si>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</si>
  <si>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</si>
  <si>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</si>
  <si>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</si>
  <si>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</si>
  <si>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</si>
  <si>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</si>
  <si>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</si>
  <si>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</si>
  <si>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</si>
  <si>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</si>
  <si>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</si>
  <si>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</si>
  <si>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</si>
  <si>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</si>
  <si>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</si>
  <si>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</si>
  <si>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</si>
  <si>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</si>
  <si>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</si>
  <si>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</si>
  <si>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</si>
  <si>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</si>
  <si>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</si>
  <si>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</si>
  <si>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</si>
  <si>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</si>
  <si>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</si>
  <si>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</si>
  <si>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</si>
  <si>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</si>
  <si>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</si>
  <si>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</si>
  <si>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</si>
  <si>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</si>
  <si>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</si>
  <si>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</si>
  <si>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</si>
  <si>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</si>
  <si>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</si>
  <si>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</si>
  <si>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</si>
  <si>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</si>
  <si>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</si>
  <si>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</si>
  <si>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</si>
  <si>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</si>
  <si>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</si>
  <si>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</si>
  <si>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</si>
  <si>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</si>
  <si>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</si>
  <si>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</si>
  <si>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</si>
  <si>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</si>
  <si>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</si>
  <si>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</si>
  <si>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</si>
  <si>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</si>
  <si>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</si>
  <si>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</si>
  <si>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</si>
  <si>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</si>
  <si>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</si>
  <si>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</si>
  <si>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</si>
  <si>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</si>
  <si>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</si>
  <si>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</si>
  <si>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</si>
  <si>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</si>
  <si>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</si>
  <si>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</si>
  <si>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</si>
  <si>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</si>
  <si>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</si>
  <si>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</si>
  <si>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</si>
  <si>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</si>
  <si>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</si>
  <si>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</si>
  <si>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</si>
  <si>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</si>
  <si>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</si>
  <si>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</si>
  <si>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</si>
  <si>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</si>
  <si>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</si>
  <si>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</si>
  <si>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</si>
  <si>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</si>
  <si>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</si>
  <si>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</si>
  <si>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</si>
  <si>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</si>
  <si>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</si>
  <si>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</si>
  <si>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</si>
  <si>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</si>
  <si>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</si>
  <si>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</si>
  <si>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</si>
  <si>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</si>
  <si>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</si>
  <si>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</si>
  <si>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</si>
  <si>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</si>
  <si>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</si>
  <si>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</si>
  <si>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</si>
  <si>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</si>
  <si>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</si>
  <si>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</si>
  <si>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</si>
  <si>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</si>
  <si>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</si>
  <si>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</si>
  <si>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</si>
  <si>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</si>
  <si>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</si>
  <si>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</si>
  <si>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</si>
  <si>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</si>
  <si>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</si>
  <si>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</si>
  <si>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</si>
  <si>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</si>
  <si>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</si>
  <si>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</si>
  <si>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</si>
  <si>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</si>
  <si>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</si>
  <si>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</si>
  <si>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</si>
  <si>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</si>
  <si>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</si>
  <si>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</si>
  <si>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</si>
  <si>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</si>
  <si>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</si>
  <si>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</si>
  <si>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</si>
  <si>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</si>
  <si>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</si>
  <si>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</si>
  <si>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</si>
  <si>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</si>
  <si>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</si>
  <si>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</si>
  <si>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</si>
  <si>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</si>
  <si>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</si>
  <si>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</si>
  <si>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</si>
  <si>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</si>
  <si>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</si>
  <si>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</si>
  <si>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</si>
  <si>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</si>
  <si>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</si>
  <si>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</si>
  <si>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</si>
  <si>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</si>
  <si>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</si>
  <si>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</si>
  <si>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</si>
  <si>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</si>
  <si>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</si>
  <si>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</si>
  <si>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</si>
  <si>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</si>
  <si>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</si>
  <si>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</si>
  <si>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</si>
  <si>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</si>
  <si>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</si>
  <si>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</si>
  <si>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</si>
  <si>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</si>
  <si>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</si>
  <si>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</si>
  <si>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</si>
  <si>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</si>
  <si>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</si>
  <si>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</si>
  <si>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</si>
  <si>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</si>
  <si>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</si>
  <si>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</si>
  <si>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</si>
  <si>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</si>
  <si>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</si>
  <si>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</si>
  <si>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</si>
  <si>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</si>
  <si>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</si>
  <si>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</si>
  <si>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</si>
  <si>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</si>
  <si>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</si>
  <si>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</si>
  <si>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</si>
  <si>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</si>
  <si>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</si>
  <si>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</si>
  <si>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</si>
  <si>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</si>
  <si>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</si>
  <si>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</si>
  <si>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</si>
  <si>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</si>
  <si>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</si>
  <si>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</si>
  <si>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</si>
  <si>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</si>
  <si>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</si>
  <si>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</si>
  <si>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</si>
  <si>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</si>
  <si>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</si>
  <si>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</si>
  <si>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</si>
  <si>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</si>
  <si>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</si>
  <si>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</si>
  <si>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</si>
  <si>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</si>
  <si>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</si>
  <si>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</si>
  <si>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</si>
  <si>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</si>
  <si>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</si>
  <si>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</si>
  <si>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</si>
  <si>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</si>
  <si>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</si>
  <si>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</si>
  <si>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</si>
  <si>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</si>
  <si>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</si>
  <si>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</si>
  <si>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</si>
  <si>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</si>
  <si>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</si>
  <si>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</si>
  <si>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</si>
  <si>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</si>
  <si>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</si>
  <si>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</si>
  <si>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</si>
  <si>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</si>
  <si>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</si>
  <si>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</si>
  <si>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</si>
  <si>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</si>
  <si>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</si>
  <si>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</si>
  <si>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</si>
  <si>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</si>
  <si>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</si>
  <si>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</si>
  <si>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</si>
  <si>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</si>
  <si>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</si>
  <si>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</si>
  <si>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</si>
  <si>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</si>
  <si>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</si>
  <si>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</si>
  <si>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</si>
  <si>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</si>
  <si>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</si>
  <si>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</si>
  <si>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</si>
  <si>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</si>
  <si>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</si>
  <si>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</si>
  <si>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</si>
  <si>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</si>
  <si>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</si>
  <si>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</si>
  <si>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</si>
  <si>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</si>
  <si>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</si>
  <si>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</si>
  <si>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</si>
  <si>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</si>
  <si>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</si>
  <si>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</si>
  <si>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</si>
  <si>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</si>
  <si>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</si>
  <si>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</si>
  <si>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</si>
  <si>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</si>
  <si>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</si>
  <si>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</si>
  <si>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</si>
  <si>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</si>
  <si>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</si>
  <si>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</si>
  <si>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</si>
  <si>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</si>
  <si>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</si>
  <si>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</si>
  <si>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</si>
  <si>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</si>
  <si>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</si>
  <si>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</si>
  <si>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</si>
  <si>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</si>
  <si>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</si>
  <si>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</si>
  <si>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</si>
  <si>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</si>
  <si>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</si>
  <si>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</si>
  <si>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</si>
  <si>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</si>
  <si>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</si>
  <si>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</si>
  <si>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</si>
  <si>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</si>
  <si>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</si>
  <si>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</si>
  <si>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</si>
  <si>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</si>
  <si>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</si>
  <si>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</si>
  <si>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</si>
  <si>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</si>
  <si>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</si>
  <si>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</si>
  <si>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</si>
  <si>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</si>
  <si>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</si>
  <si>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</si>
  <si>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</si>
  <si>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</si>
  <si>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</si>
  <si>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</si>
  <si>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</si>
  <si>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</si>
  <si>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</si>
  <si>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</si>
  <si>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</si>
  <si>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</si>
  <si>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</si>
  <si>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</si>
  <si>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</si>
  <si>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</si>
  <si>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</si>
  <si>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</si>
  <si>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</si>
  <si>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</si>
  <si>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</si>
  <si>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</si>
  <si>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</si>
  <si>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</si>
  <si>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</si>
  <si>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</si>
  <si>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</si>
  <si>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</si>
  <si>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</si>
  <si>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</si>
  <si>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</si>
  <si>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</si>
  <si>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</si>
  <si>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</si>
  <si>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</si>
  <si>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</si>
  <si>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</si>
  <si>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</si>
  <si>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</si>
  <si>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</si>
  <si>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</si>
  <si>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</si>
  <si>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</si>
  <si>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</si>
  <si>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</si>
  <si>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</si>
  <si>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</si>
  <si>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</si>
  <si>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</si>
  <si>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</si>
  <si>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</si>
  <si>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</si>
  <si>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</si>
  <si>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</si>
  <si>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</si>
  <si>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</si>
  <si>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</si>
  <si>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</si>
  <si>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</si>
  <si>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</si>
  <si>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</si>
  <si>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</si>
  <si>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</si>
  <si>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</si>
  <si>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</si>
  <si>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</si>
  <si>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</si>
  <si>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</si>
  <si>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</si>
  <si>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</si>
  <si>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</si>
  <si>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</si>
  <si>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</si>
  <si>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</si>
  <si>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</si>
  <si>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</si>
  <si>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</si>
  <si>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</si>
  <si>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</si>
  <si>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</si>
  <si>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</si>
  <si>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</si>
  <si>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</si>
  <si>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</si>
  <si>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</si>
  <si>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</si>
  <si>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</si>
  <si>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</si>
  <si>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</si>
  <si>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</si>
  <si>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</si>
  <si>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</si>
  <si>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</si>
  <si>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</si>
  <si>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</si>
  <si>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</si>
  <si>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</si>
  <si>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</si>
  <si>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</si>
  <si>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</si>
  <si>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</si>
  <si>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</si>
  <si>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</si>
  <si>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</si>
  <si>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</si>
  <si>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</si>
  <si>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</si>
  <si>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</si>
  <si>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</si>
  <si>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</si>
  <si>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</si>
  <si>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</si>
  <si>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</si>
  <si>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</si>
  <si>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</si>
  <si>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</si>
  <si>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</si>
  <si>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</si>
  <si>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</si>
  <si>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</si>
  <si>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</si>
  <si>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</si>
  <si>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</si>
  <si>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</si>
  <si>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</si>
  <si>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</si>
  <si>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</si>
  <si>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</si>
  <si>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</si>
  <si>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</si>
  <si>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</si>
  <si>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</si>
  <si>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</si>
  <si>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</si>
  <si>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</si>
  <si>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</si>
  <si>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</si>
  <si>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</si>
  <si>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</si>
  <si>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</si>
  <si>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</si>
  <si>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</si>
  <si>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</si>
  <si>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</si>
  <si>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</si>
  <si>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</si>
  <si>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</si>
  <si>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</si>
  <si>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</si>
  <si>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</si>
  <si>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</si>
  <si>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</si>
  <si>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</si>
  <si>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</si>
  <si>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</si>
  <si>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</si>
  <si>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</si>
  <si>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</si>
  <si>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</si>
  <si>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</si>
  <si>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</si>
  <si>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</si>
  <si>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</si>
  <si>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</si>
  <si>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</si>
  <si>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</si>
  <si>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</si>
  <si>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</si>
  <si>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</si>
  <si>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</si>
  <si>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</si>
  <si>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</si>
  <si>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</si>
  <si>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</si>
  <si>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</si>
  <si>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</si>
  <si>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</si>
  <si>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</si>
  <si>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</si>
  <si>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</si>
  <si>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</si>
  <si>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</si>
  <si>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</si>
  <si>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</si>
  <si>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</si>
  <si>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</si>
  <si>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</si>
  <si>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</si>
  <si>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</si>
  <si>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</si>
  <si>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</si>
  <si>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</si>
  <si>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</si>
  <si>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</si>
  <si>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</si>
  <si>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</si>
  <si>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</si>
  <si>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</si>
  <si>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</si>
  <si>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</si>
  <si>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</si>
  <si>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</si>
  <si>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</si>
  <si>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</si>
  <si>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</si>
  <si>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</si>
  <si>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</si>
  <si>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</si>
  <si>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</si>
  <si>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</si>
  <si>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</si>
  <si>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</si>
  <si>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</si>
  <si>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</si>
  <si>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</si>
  <si>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</si>
  <si>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</si>
  <si>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</si>
  <si>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</si>
  <si>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</si>
  <si>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</si>
  <si>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</si>
  <si>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</si>
  <si>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</si>
  <si>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</si>
  <si>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</si>
  <si>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</si>
  <si>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</si>
  <si>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</si>
  <si>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</si>
  <si>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</si>
  <si>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</si>
  <si>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</si>
  <si>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</si>
  <si>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</si>
  <si>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</si>
  <si>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</si>
  <si>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</si>
  <si>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</si>
  <si>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</si>
  <si>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</si>
  <si>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</si>
  <si>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</si>
  <si>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</si>
  <si>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</si>
  <si>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</si>
  <si>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</si>
  <si>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</si>
  <si>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</si>
  <si>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</si>
  <si>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</si>
  <si>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</si>
  <si>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</si>
  <si>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</si>
  <si>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</si>
  <si>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</si>
  <si>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</si>
  <si>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</si>
  <si>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</si>
  <si>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</si>
  <si>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</si>
  <si>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</si>
  <si>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</si>
  <si>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</si>
  <si>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</si>
  <si>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</si>
  <si>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</si>
  <si>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</si>
  <si>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</si>
  <si>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</si>
  <si>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</si>
  <si>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</si>
  <si>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</si>
  <si>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</si>
  <si>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</si>
  <si>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</si>
  <si>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</si>
  <si>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</si>
  <si>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</si>
  <si>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</si>
  <si>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</si>
  <si>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</si>
  <si>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</si>
  <si>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</si>
  <si>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</si>
  <si>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</si>
  <si>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</si>
  <si>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</si>
  <si>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</si>
  <si>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</si>
  <si>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</si>
  <si>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</si>
  <si>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</si>
  <si>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</si>
  <si>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</si>
  <si>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</si>
  <si>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</si>
  <si>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</si>
  <si>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</si>
  <si>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</si>
  <si>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</si>
  <si>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</si>
  <si>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</si>
  <si>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</si>
  <si>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</si>
  <si>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</si>
  <si>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</si>
  <si>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</si>
  <si>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</si>
  <si>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</si>
  <si>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</si>
  <si>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</si>
  <si>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</si>
  <si>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</si>
  <si>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</si>
  <si>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</si>
  <si>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</si>
  <si>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</si>
  <si>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</si>
  <si>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</si>
  <si>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</si>
  <si>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</si>
  <si>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</si>
  <si>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</si>
  <si>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</si>
  <si>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</si>
  <si>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</si>
  <si>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</si>
  <si>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</si>
  <si>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</si>
  <si>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</si>
  <si>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</si>
  <si>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</si>
  <si>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</si>
  <si>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</si>
  <si>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</si>
  <si>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</si>
  <si>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</si>
  <si>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</si>
  <si>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</si>
  <si>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</si>
  <si>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</si>
  <si>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</si>
  <si>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</si>
  <si>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</si>
  <si>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</si>
  <si>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</si>
  <si>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</si>
  <si>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</si>
  <si>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</si>
  <si>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</si>
  <si>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</si>
  <si>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</si>
  <si>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</si>
  <si>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</si>
  <si>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</si>
  <si>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</si>
  <si>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</si>
  <si>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</si>
  <si>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</si>
  <si>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</si>
  <si>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</si>
  <si>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</si>
  <si>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</si>
  <si>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</si>
  <si>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</si>
  <si>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</si>
  <si>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</si>
  <si>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</si>
  <si>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</si>
  <si>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</si>
  <si>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</si>
  <si>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</si>
  <si>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</si>
  <si>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</si>
  <si>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</si>
  <si>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</si>
  <si>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</si>
  <si>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</si>
  <si>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</si>
  <si>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</si>
  <si>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</si>
  <si>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</si>
  <si>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</si>
  <si>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</si>
  <si>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</si>
  <si>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</si>
  <si>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</si>
  <si>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</si>
  <si>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</si>
  <si>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</si>
  <si>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</si>
  <si>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</si>
  <si>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</si>
  <si>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</si>
  <si>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</si>
  <si>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</si>
  <si>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</si>
  <si>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</si>
  <si>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</si>
  <si>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</si>
  <si>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</si>
  <si>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</si>
  <si>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</si>
  <si>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</si>
  <si>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</si>
  <si>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</si>
  <si>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</si>
  <si>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</si>
  <si>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</si>
  <si>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</si>
  <si>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</si>
  <si>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</si>
  <si>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</si>
  <si>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</si>
  <si>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</si>
  <si>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</si>
  <si>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</si>
  <si>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</si>
  <si>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</si>
  <si>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</si>
  <si>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</si>
  <si>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</si>
  <si>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</si>
  <si>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</si>
  <si>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</si>
  <si>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</si>
  <si>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</si>
  <si>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</si>
  <si>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</si>
  <si>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</si>
  <si>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</si>
  <si>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</si>
  <si>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</si>
  <si>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</si>
  <si>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</si>
  <si>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</si>
  <si>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</si>
  <si>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</si>
  <si>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</si>
  <si>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</si>
  <si>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</si>
  <si>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</si>
  <si>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</si>
  <si>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</si>
  <si>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</si>
  <si>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</si>
  <si>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</si>
  <si>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</si>
  <si>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</si>
  <si>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</si>
  <si>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</si>
  <si>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</si>
  <si>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</si>
  <si>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</si>
  <si>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</si>
  <si>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</si>
  <si>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</si>
  <si>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</si>
  <si>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</si>
  <si>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</si>
  <si>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</si>
  <si>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</si>
  <si>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</si>
  <si>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</si>
  <si>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</si>
  <si>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</si>
  <si>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</si>
  <si>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</si>
  <si>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</si>
  <si>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</si>
  <si>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</si>
  <si>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</si>
  <si>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</si>
  <si>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</si>
  <si>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</si>
  <si>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</si>
  <si>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</si>
  <si>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</si>
  <si>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</si>
  <si>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</si>
  <si>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</si>
  <si>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</si>
  <si>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</si>
  <si>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</si>
  <si>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</si>
  <si>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</si>
  <si>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</si>
  <si>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</si>
  <si>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</si>
  <si>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</si>
  <si>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</si>
  <si>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</si>
  <si>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</si>
  <si>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</si>
  <si>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</si>
  <si>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</si>
  <si>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</si>
  <si>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</si>
  <si>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</si>
  <si>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</si>
  <si>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</si>
  <si>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</si>
  <si>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</si>
  <si>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</si>
  <si>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</si>
  <si>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</si>
  <si>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</si>
  <si>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</si>
  <si>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</si>
  <si>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</si>
  <si>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</si>
  <si>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</si>
  <si>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</si>
  <si>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</si>
  <si>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</si>
  <si>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</si>
  <si>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</si>
  <si>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</si>
  <si>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</si>
  <si>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</si>
  <si>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</si>
  <si>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</si>
  <si>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</si>
  <si>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</si>
  <si>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</si>
  <si>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</si>
  <si>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</si>
  <si>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</si>
  <si>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</si>
  <si>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</si>
  <si>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</si>
  <si>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</si>
  <si>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</si>
  <si>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</si>
  <si>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</si>
  <si>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</si>
  <si>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</si>
  <si>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</si>
  <si>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</si>
  <si>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</si>
  <si>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</si>
  <si>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</si>
  <si>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</si>
  <si>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</si>
  <si>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</si>
  <si>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</si>
  <si>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</si>
  <si>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</si>
  <si>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</si>
  <si>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</si>
  <si>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</si>
  <si>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</si>
  <si>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</si>
  <si>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</si>
  <si>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</si>
  <si>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</si>
  <si>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</si>
  <si>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</si>
  <si>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</si>
  <si>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</si>
  <si>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</si>
  <si>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</si>
  <si>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</si>
  <si>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</si>
  <si>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</si>
  <si>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</si>
  <si>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</si>
  <si>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</si>
  <si>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</si>
  <si>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</si>
  <si>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</si>
  <si>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</si>
  <si>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</si>
  <si>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</si>
  <si>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</si>
  <si>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</si>
  <si>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</si>
  <si>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</si>
  <si>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</si>
  <si>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</si>
  <si>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</si>
  <si>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</si>
  <si>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</si>
  <si>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</si>
  <si>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</si>
  <si>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</si>
  <si>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</si>
  <si>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</si>
  <si>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</si>
  <si>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</si>
  <si>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</si>
  <si>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</si>
  <si>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</si>
  <si>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</si>
  <si>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</si>
  <si>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</si>
  <si>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</si>
  <si>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</si>
  <si>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</si>
  <si>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</si>
  <si>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</si>
  <si>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</si>
  <si>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</si>
  <si>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</si>
  <si>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</si>
  <si>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</si>
  <si>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</si>
  <si>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</si>
  <si>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</si>
  <si>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</si>
  <si>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</si>
  <si>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</si>
  <si>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</si>
  <si>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</si>
  <si>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</si>
  <si>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</si>
  <si>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</si>
  <si>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</si>
  <si>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</si>
  <si>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</si>
  <si>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</si>
  <si>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</si>
  <si>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</si>
  <si>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</si>
  <si>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</si>
  <si>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</si>
  <si>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</si>
  <si>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</si>
  <si>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</si>
  <si>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</si>
  <si>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</si>
  <si>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</si>
  <si>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</si>
  <si>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</si>
  <si>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</si>
  <si>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</si>
  <si>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</si>
  <si>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</si>
  <si>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</si>
  <si>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</si>
  <si>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</si>
  <si>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</si>
  <si>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</si>
  <si>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</si>
  <si>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</si>
  <si>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</si>
  <si>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</si>
  <si>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</si>
  <si>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</si>
  <si>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</si>
  <si>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</si>
  <si>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</si>
  <si>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</si>
  <si>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</si>
  <si>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</si>
  <si>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</si>
  <si>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</si>
  <si>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</si>
  <si>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</si>
  <si>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</si>
  <si>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</si>
  <si>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</si>
  <si>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</si>
  <si>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</si>
  <si>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</si>
  <si>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</si>
  <si>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</si>
  <si>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</si>
  <si>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</si>
  <si>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</si>
  <si>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</si>
  <si>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</si>
  <si>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</si>
  <si>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</si>
  <si>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</si>
  <si>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</si>
  <si>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</si>
  <si>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</si>
  <si>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</si>
  <si>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</si>
  <si>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</si>
  <si>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</si>
  <si>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</si>
  <si>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</si>
  <si>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</si>
  <si>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</si>
  <si>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</si>
  <si>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</si>
  <si>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</si>
  <si>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</si>
  <si>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</si>
  <si>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</si>
  <si>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</si>
  <si>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</si>
  <si>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</si>
  <si>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</si>
  <si>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</si>
  <si>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</si>
  <si>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</si>
  <si>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</si>
  <si>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</si>
  <si>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</si>
  <si>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</si>
  <si>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</si>
  <si>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</si>
  <si>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</si>
  <si>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</si>
  <si>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</si>
  <si>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</si>
  <si>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</si>
  <si>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</si>
  <si>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</si>
  <si>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</si>
  <si>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</si>
  <si>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</si>
  <si>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</si>
  <si>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</si>
  <si>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</si>
  <si>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</si>
  <si>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</si>
  <si>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</si>
  <si>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</si>
  <si>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</si>
  <si>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</si>
  <si>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</si>
  <si>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</si>
  <si>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</si>
  <si>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</si>
  <si>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</si>
  <si>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</si>
  <si>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</si>
  <si>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</si>
  <si>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</si>
  <si>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</si>
  <si>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</si>
  <si>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</si>
  <si>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</si>
  <si>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</si>
  <si>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</si>
  <si>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</si>
  <si>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</si>
  <si>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</si>
  <si>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</si>
  <si>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</si>
  <si>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</si>
  <si>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</si>
  <si>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</si>
  <si>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</si>
  <si>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</si>
  <si>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</si>
  <si>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</si>
  <si>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</si>
  <si>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</si>
  <si>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</si>
  <si>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</si>
  <si>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</si>
  <si>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</si>
  <si>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</si>
  <si>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</si>
  <si>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</si>
  <si>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</si>
  <si>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</si>
  <si>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</si>
  <si>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</si>
  <si>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</si>
  <si>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</si>
  <si>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</si>
  <si>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</si>
  <si>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</si>
  <si>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</si>
  <si>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</si>
  <si>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</si>
  <si>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</si>
  <si>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</si>
  <si>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</si>
  <si>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</si>
  <si>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</si>
  <si>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</si>
  <si>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</si>
  <si>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</si>
  <si>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</si>
  <si>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</si>
  <si>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</si>
  <si>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</si>
  <si>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</si>
  <si>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</si>
  <si>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</si>
  <si>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</si>
  <si>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</si>
  <si>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</si>
  <si>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</si>
  <si>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</si>
  <si>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</si>
  <si>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</si>
  <si>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</si>
  <si>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</si>
  <si>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</si>
  <si>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</si>
  <si>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</si>
  <si>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</si>
  <si>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</si>
  <si>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</si>
  <si>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</si>
  <si>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</si>
  <si>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</si>
  <si>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</si>
  <si>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</si>
  <si>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</si>
  <si>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</si>
  <si>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</si>
  <si>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</si>
  <si>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</si>
  <si>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</si>
  <si>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</si>
  <si>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</si>
  <si>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</si>
  <si>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</si>
  <si>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</si>
  <si>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</si>
  <si>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</si>
  <si>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</si>
  <si>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</si>
  <si>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</si>
  <si>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</si>
  <si>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</si>
  <si>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</si>
  <si>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</si>
  <si>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</si>
  <si>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</si>
  <si>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</si>
  <si>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</si>
  <si>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</si>
  <si>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</si>
  <si>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</si>
  <si>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</si>
  <si>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</si>
  <si>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</si>
  <si>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</si>
  <si>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</si>
  <si>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</si>
  <si>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</si>
  <si>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</si>
  <si>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</si>
  <si>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</si>
  <si>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</si>
  <si>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</si>
  <si>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</si>
  <si>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</si>
  <si>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</si>
  <si>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</si>
  <si>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</si>
  <si>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</si>
  <si>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</si>
  <si>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</si>
  <si>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</si>
  <si>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</si>
  <si>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</si>
  <si>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</si>
  <si>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</si>
  <si>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</si>
  <si>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</si>
  <si>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</si>
  <si>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</si>
  <si>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</si>
  <si>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</si>
  <si>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</si>
  <si>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</si>
  <si>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</si>
  <si>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</si>
  <si>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</si>
  <si>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</si>
  <si>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</si>
  <si>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</si>
  <si>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</si>
  <si>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</si>
  <si>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</si>
  <si>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</si>
  <si>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</si>
  <si>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</si>
  <si>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</si>
  <si>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</si>
  <si>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</si>
  <si>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</si>
  <si>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</si>
  <si>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</si>
  <si>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</si>
  <si>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</si>
  <si>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</si>
  <si>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</si>
  <si>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</si>
  <si>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</si>
  <si>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</si>
  <si>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</si>
  <si>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</si>
  <si>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</si>
  <si>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</si>
  <si>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</si>
  <si>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</si>
  <si>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</si>
  <si>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</si>
  <si>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</si>
  <si>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</si>
  <si>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</si>
  <si>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</si>
  <si>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</si>
  <si>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</si>
  <si>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</si>
  <si>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</si>
  <si>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</si>
  <si>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</si>
  <si>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</si>
  <si>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</si>
  <si>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</si>
  <si>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</si>
  <si>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</si>
  <si>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</si>
  <si>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</si>
  <si>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</si>
  <si>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</si>
  <si>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</si>
  <si>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</si>
  <si>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</si>
  <si>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</si>
  <si>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</si>
  <si>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</si>
  <si>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</si>
  <si>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</si>
  <si>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</si>
  <si>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</si>
  <si>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</si>
  <si>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</si>
  <si>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</si>
  <si>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</si>
  <si>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</si>
  <si>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</si>
  <si>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</si>
  <si>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</si>
  <si>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</si>
  <si>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</si>
  <si>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</si>
  <si>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</si>
  <si>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</si>
  <si>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</si>
  <si>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</si>
  <si>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</si>
  <si>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</si>
  <si>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</si>
  <si>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</si>
  <si>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</si>
  <si>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</si>
  <si>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</si>
  <si>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</si>
  <si>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</si>
  <si>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</si>
  <si>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</si>
  <si>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</si>
  <si>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</si>
  <si>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</si>
  <si>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</si>
  <si>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</si>
  <si>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</si>
  <si>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</si>
  <si>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</si>
  <si>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</si>
  <si>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</si>
  <si>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</si>
  <si>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</si>
  <si>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</si>
  <si>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</si>
  <si>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</si>
  <si>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</si>
  <si>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</si>
  <si>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</si>
  <si>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</si>
  <si>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</si>
  <si>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</si>
  <si>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</si>
  <si>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</si>
  <si>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</si>
  <si>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</si>
  <si>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</si>
  <si>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</si>
  <si>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</si>
  <si>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</si>
  <si>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</si>
  <si>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</si>
  <si>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</si>
  <si>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</si>
  <si>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</si>
  <si>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</si>
  <si>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</si>
  <si>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</si>
  <si>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</si>
  <si>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</si>
  <si>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</si>
  <si>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</si>
  <si>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</si>
  <si>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</si>
  <si>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</si>
  <si>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</si>
  <si>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</si>
  <si>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</si>
  <si>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</si>
  <si>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</si>
  <si>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</si>
  <si>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</si>
  <si>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</si>
  <si>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</si>
  <si>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</si>
  <si>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</si>
  <si>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</si>
  <si>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</si>
  <si>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</si>
  <si>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</si>
  <si>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</si>
  <si>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</si>
  <si>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</si>
  <si>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</si>
  <si>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</si>
  <si>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</si>
  <si>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</si>
  <si>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</si>
  <si>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</si>
  <si>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</si>
  <si>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</si>
  <si>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</si>
  <si>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</si>
  <si>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</si>
  <si>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</si>
  <si>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</si>
  <si>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</si>
  <si>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</si>
  <si>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</si>
  <si>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</si>
  <si>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</si>
  <si>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</si>
  <si>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</si>
  <si>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</si>
  <si>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</si>
  <si>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</si>
  <si>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</si>
  <si>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</si>
  <si>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</si>
  <si>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</si>
  <si>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</si>
  <si>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</si>
  <si>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</si>
  <si>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</si>
  <si>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</si>
  <si>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</si>
  <si>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</si>
  <si>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</si>
  <si>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</si>
  <si>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</si>
  <si>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</si>
  <si>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</si>
  <si>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</si>
  <si>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</si>
  <si>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</si>
  <si>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</si>
  <si>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</si>
  <si>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</si>
  <si>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</si>
  <si>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</si>
  <si>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</si>
  <si>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</si>
  <si>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</si>
  <si>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</si>
  <si>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</si>
  <si>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</si>
  <si>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</si>
  <si>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</si>
  <si>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</si>
  <si>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</si>
  <si>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</si>
  <si>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</si>
  <si>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</si>
  <si>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</si>
  <si>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</si>
  <si>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</si>
  <si>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</si>
  <si>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</si>
  <si>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</si>
  <si>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</si>
  <si>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</si>
  <si>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</si>
  <si>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</si>
  <si>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</si>
  <si>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</si>
  <si>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</si>
  <si>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</si>
  <si>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</si>
  <si>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</si>
  <si>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</si>
  <si>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</si>
  <si>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</si>
  <si>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</si>
  <si>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</si>
  <si>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</si>
  <si>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</si>
  <si>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</si>
  <si>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</si>
  <si>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</si>
  <si>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</si>
  <si>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</si>
  <si>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</si>
  <si>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</si>
  <si>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</si>
  <si>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</si>
  <si>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</si>
  <si>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</si>
  <si>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</si>
  <si>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</si>
  <si>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</si>
  <si>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</si>
  <si>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</si>
  <si>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</si>
  <si>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</si>
  <si>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</si>
  <si>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</si>
  <si>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</si>
  <si>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</si>
  <si>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</si>
  <si>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</si>
  <si>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</si>
  <si>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</si>
  <si>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</si>
  <si>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</si>
  <si>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</si>
  <si>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</si>
  <si>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</si>
  <si>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</si>
  <si>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</si>
  <si>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</si>
  <si>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</si>
  <si>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</si>
  <si>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</si>
  <si>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</si>
  <si>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</si>
  <si>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</si>
  <si>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</si>
  <si>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</si>
  <si>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</si>
  <si>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</si>
  <si>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</si>
  <si>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</si>
  <si>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</si>
  <si>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</si>
  <si>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</si>
  <si>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</si>
  <si>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</si>
  <si>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</si>
  <si>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</si>
  <si>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</si>
  <si>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</si>
  <si>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</si>
  <si>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</si>
  <si>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</si>
  <si>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</si>
  <si>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</si>
  <si>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</si>
  <si>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</si>
  <si>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</si>
  <si>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</si>
  <si>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</si>
  <si>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</si>
  <si>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</si>
  <si>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</si>
  <si>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</si>
  <si>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</si>
  <si>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</si>
  <si>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</si>
  <si>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</si>
  <si>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</si>
  <si>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</si>
  <si>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</si>
  <si>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</si>
  <si>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</si>
  <si>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</si>
  <si>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</si>
  <si>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</si>
  <si>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</si>
  <si>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</si>
  <si>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</si>
  <si>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</si>
  <si>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</si>
  <si>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</si>
  <si>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</si>
  <si>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</si>
  <si>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</si>
  <si>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</si>
  <si>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</si>
  <si>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</si>
  <si>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</si>
  <si>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</si>
  <si>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</si>
  <si>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</si>
  <si>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</si>
  <si>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</si>
  <si>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</si>
  <si>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</si>
  <si>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</si>
  <si>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</si>
  <si>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</si>
  <si>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</si>
  <si>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</si>
  <si>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</si>
  <si>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</si>
  <si>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</si>
  <si>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</si>
  <si>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</si>
  <si>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</si>
  <si>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</si>
  <si>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</si>
  <si>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</si>
  <si>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</si>
  <si>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</si>
  <si>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</si>
  <si>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</si>
  <si>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</si>
  <si>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</si>
  <si>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</si>
  <si>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</si>
  <si>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</si>
  <si>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</si>
  <si>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</si>
  <si>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</si>
  <si>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</si>
  <si>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</si>
  <si>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</si>
  <si>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</si>
  <si>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</si>
  <si>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</si>
  <si>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</si>
  <si>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</si>
  <si>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</si>
  <si>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</si>
  <si>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</si>
  <si>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</si>
  <si>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</si>
  <si>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</si>
  <si>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</si>
  <si>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</si>
  <si>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</si>
  <si>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</si>
  <si>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</si>
  <si>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</si>
  <si>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</si>
  <si>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</si>
  <si>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</si>
  <si>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</si>
  <si>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</si>
  <si>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</si>
  <si>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</si>
  <si>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</si>
  <si>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</si>
  <si>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</si>
  <si>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</si>
  <si>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</si>
  <si>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</si>
  <si>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</si>
  <si>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</si>
  <si>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</si>
  <si>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</si>
  <si>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</si>
  <si>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</si>
  <si>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</si>
  <si>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</si>
  <si>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</si>
  <si>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</si>
  <si>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</si>
  <si>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</si>
  <si>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</si>
  <si>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</si>
  <si>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</si>
  <si>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</si>
  <si>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</si>
  <si>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</si>
  <si>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</si>
  <si>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</si>
  <si>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</si>
  <si>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</si>
  <si>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</si>
  <si>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</si>
  <si>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</si>
  <si>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</si>
  <si>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</si>
  <si>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</si>
  <si>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</si>
  <si>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</si>
  <si>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</si>
  <si>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</si>
  <si>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</si>
  <si>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</si>
  <si>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</si>
  <si>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</si>
  <si>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</si>
  <si>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</si>
  <si>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</si>
  <si>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</si>
  <si>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</si>
  <si>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</si>
  <si>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</si>
  <si>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</si>
  <si>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</si>
  <si>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</si>
  <si>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</si>
  <si>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</si>
  <si>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</si>
  <si>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</si>
  <si>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</si>
  <si>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</si>
  <si>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</si>
  <si>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</si>
  <si>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</si>
  <si>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</si>
  <si>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</si>
  <si>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</si>
  <si>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</si>
  <si>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</si>
  <si>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</si>
  <si>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</si>
  <si>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</si>
  <si>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</si>
  <si>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</si>
  <si>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</si>
  <si>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</si>
  <si>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</si>
  <si>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</si>
  <si>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</si>
  <si>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</si>
  <si>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</si>
  <si>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</si>
  <si>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</si>
  <si>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</si>
  <si>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</si>
  <si>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</si>
  <si>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</si>
  <si>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</si>
  <si>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</si>
  <si>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</si>
  <si>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</si>
  <si>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</si>
  <si>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</si>
  <si>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</si>
  <si>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</si>
  <si>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</si>
  <si>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</si>
  <si>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</si>
  <si>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</si>
  <si>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</si>
  <si>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</si>
  <si>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</si>
  <si>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</si>
  <si>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</si>
  <si>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</si>
  <si>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</si>
  <si>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</si>
  <si>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</si>
  <si>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</si>
  <si>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</si>
  <si>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</si>
  <si>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</si>
  <si>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</si>
  <si>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</si>
  <si>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</si>
  <si>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</si>
  <si>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</si>
  <si>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</si>
  <si>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</si>
  <si>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</si>
  <si>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</si>
  <si>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</si>
  <si>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</si>
  <si>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</si>
  <si>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</si>
  <si>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</si>
  <si>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</si>
  <si>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</si>
  <si>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</si>
  <si>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</si>
  <si>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</si>
  <si>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</si>
  <si>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</si>
  <si>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</si>
  <si>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</si>
  <si>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</si>
  <si>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</si>
  <si>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</si>
  <si>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</si>
  <si>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</si>
  <si>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</si>
  <si>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</si>
  <si>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</si>
  <si>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</si>
  <si>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</si>
  <si>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</si>
  <si>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</si>
  <si>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</si>
  <si>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</si>
  <si>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</si>
  <si>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</si>
  <si>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</si>
  <si>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</si>
  <si>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</si>
  <si>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</si>
  <si>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</si>
  <si>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</si>
  <si>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</si>
  <si>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</si>
  <si>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</si>
  <si>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</si>
  <si>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</si>
  <si>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</si>
  <si>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</si>
  <si>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</si>
  <si>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</si>
  <si>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</si>
  <si>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</si>
  <si>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</si>
  <si>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</si>
  <si>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</si>
  <si>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</si>
  <si>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</si>
  <si>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</si>
  <si>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</si>
  <si>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</si>
  <si>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</si>
  <si>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</si>
  <si>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</si>
  <si>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</si>
  <si>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</si>
  <si>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</si>
  <si>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</si>
  <si>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</si>
  <si>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</si>
  <si>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</si>
  <si>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</si>
  <si>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</si>
  <si>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</si>
  <si>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</si>
  <si>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</si>
  <si>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</si>
  <si>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</si>
  <si>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</si>
  <si>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</si>
  <si>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</si>
  <si>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</si>
  <si>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</si>
  <si>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</si>
  <si>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</si>
  <si>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</si>
  <si>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</si>
  <si>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</si>
  <si>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</si>
  <si>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</si>
  <si>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</si>
  <si>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</si>
  <si>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</si>
  <si>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</si>
  <si>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</si>
  <si>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</si>
  <si>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</si>
  <si>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</si>
  <si>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</si>
  <si>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</si>
  <si>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</si>
  <si>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</si>
  <si>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</si>
  <si>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</si>
  <si>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</si>
  <si>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</si>
  <si>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</si>
  <si>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</si>
  <si>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</si>
  <si>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</si>
  <si>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</si>
  <si>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</si>
  <si>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</si>
  <si>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</si>
  <si>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</si>
  <si>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</si>
  <si>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</si>
  <si>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</si>
  <si>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</si>
  <si>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</si>
  <si>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</si>
  <si>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</si>
  <si>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</si>
  <si>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</si>
  <si>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</si>
  <si>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</si>
  <si>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</si>
  <si>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</si>
  <si>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</si>
  <si>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</si>
  <si>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</si>
  <si>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</si>
  <si>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</si>
  <si>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</si>
  <si>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</si>
  <si>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</si>
  <si>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</si>
  <si>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</si>
  <si>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</si>
  <si>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</si>
  <si>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</si>
  <si>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</si>
  <si>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</si>
  <si>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</si>
  <si>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</si>
  <si>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</si>
  <si>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</si>
  <si>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</si>
  <si>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</si>
  <si>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</si>
  <si>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</si>
  <si>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</si>
  <si>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</si>
  <si>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</si>
  <si>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</si>
  <si>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</si>
  <si>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</si>
  <si>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</si>
  <si>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</si>
  <si>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</si>
  <si>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</si>
  <si>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</si>
  <si>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</si>
  <si>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</si>
  <si>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</si>
  <si>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</si>
  <si>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</si>
  <si>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</si>
  <si>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</si>
  <si>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</si>
  <si>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</si>
  <si>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</si>
  <si>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</si>
  <si>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</si>
  <si>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</si>
  <si>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</si>
  <si>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</si>
  <si>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</si>
  <si>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</si>
  <si>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</si>
  <si>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</si>
  <si>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</si>
  <si>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</si>
  <si>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</si>
  <si>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</si>
  <si>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</si>
  <si>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</si>
  <si>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</si>
  <si>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</si>
  <si>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</si>
  <si>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</si>
  <si>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</si>
  <si>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</si>
  <si>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</si>
  <si>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</si>
  <si>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</si>
  <si>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</si>
  <si>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</si>
  <si>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</si>
  <si>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</si>
  <si>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</si>
  <si>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</si>
  <si>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</si>
  <si>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</si>
  <si>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</si>
  <si>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</si>
  <si>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</si>
  <si>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</si>
  <si>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</si>
  <si>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</si>
  <si>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</si>
  <si>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</si>
  <si>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</si>
  <si>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</si>
  <si>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</si>
  <si>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</si>
  <si>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</si>
  <si>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</si>
  <si>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</si>
  <si>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</si>
  <si>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</si>
  <si>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</si>
  <si>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</si>
  <si>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</si>
  <si>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</si>
  <si>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</si>
  <si>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</si>
  <si>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</si>
  <si>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</si>
  <si>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</si>
  <si>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</si>
  <si>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</si>
  <si>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</si>
  <si>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</si>
  <si>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</si>
  <si>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</si>
  <si>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</si>
  <si>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</si>
  <si>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</si>
  <si>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</si>
  <si>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</si>
  <si>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</si>
  <si>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</si>
  <si>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</si>
  <si>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</si>
  <si>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</si>
  <si>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</si>
  <si>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</si>
  <si>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</si>
  <si>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</si>
  <si>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</si>
  <si>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</si>
  <si>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</si>
  <si>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</si>
  <si>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</si>
  <si>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</si>
  <si>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</si>
  <si>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</si>
  <si>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</si>
  <si>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</si>
  <si>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</si>
  <si>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</si>
  <si>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</si>
  <si>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</si>
  <si>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</si>
  <si>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</si>
  <si>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</si>
  <si>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</si>
  <si>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</si>
  <si>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</si>
  <si>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</si>
  <si>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</si>
  <si>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</si>
  <si>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</si>
  <si>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</si>
  <si>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</si>
  <si>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</si>
  <si>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</si>
  <si>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</si>
  <si>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</si>
  <si>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</si>
  <si>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</si>
  <si>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</si>
  <si>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</si>
  <si>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</si>
  <si>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</si>
  <si>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</si>
  <si>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</si>
  <si>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</si>
  <si>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</si>
  <si>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</si>
  <si>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</si>
  <si>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</si>
  <si>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</si>
  <si>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</si>
  <si>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</si>
  <si>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</si>
  <si>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</si>
  <si>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</si>
  <si>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</si>
  <si>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</si>
  <si>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</si>
  <si>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</si>
  <si>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</si>
  <si>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</si>
  <si>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</si>
  <si>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</si>
  <si>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</si>
  <si>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</si>
  <si>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</si>
  <si>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</si>
  <si>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</si>
  <si>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</si>
  <si>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</si>
  <si>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</si>
  <si>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</si>
  <si>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</si>
  <si>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</si>
  <si>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</si>
  <si>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</si>
  <si>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</si>
  <si>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</si>
  <si>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</si>
  <si>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</si>
  <si>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</si>
  <si>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</si>
  <si>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</si>
  <si>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</si>
  <si>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</si>
  <si>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</si>
  <si>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</si>
  <si>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</si>
  <si>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</si>
  <si>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</si>
  <si>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</si>
  <si>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</si>
  <si>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</si>
  <si>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</si>
  <si>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</si>
  <si>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</si>
  <si>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</si>
  <si>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</si>
  <si>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</si>
  <si>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</si>
  <si>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</si>
  <si>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</si>
  <si>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</si>
  <si>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</si>
  <si>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</si>
  <si>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</si>
  <si>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</si>
  <si>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</si>
  <si>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</si>
  <si>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</si>
  <si>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</si>
  <si>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</si>
  <si>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</si>
  <si>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</si>
  <si>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</si>
  <si>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</si>
  <si>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</si>
  <si>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</si>
  <si>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</si>
  <si>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</si>
  <si>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</si>
  <si>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</si>
  <si>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</si>
  <si>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</si>
  <si>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</si>
  <si>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</si>
  <si>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</si>
  <si>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</si>
  <si>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</si>
  <si>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</si>
  <si>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</si>
  <si>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</si>
  <si>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</si>
  <si>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</si>
  <si>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</si>
  <si>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</si>
  <si>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</si>
  <si>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</si>
  <si>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</si>
  <si>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</si>
  <si>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</si>
  <si>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</si>
  <si>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</si>
  <si>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</si>
  <si>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</si>
  <si>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</si>
  <si>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</si>
  <si>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</si>
  <si>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</si>
  <si>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</si>
  <si>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</si>
  <si>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</si>
  <si>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</si>
  <si>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</si>
  <si>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</si>
  <si>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</si>
  <si>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</si>
  <si>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</si>
  <si>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</si>
  <si>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</si>
  <si>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</si>
  <si>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</si>
  <si>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</si>
  <si>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</si>
  <si>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</si>
  <si>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</si>
  <si>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</si>
  <si>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</si>
  <si>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</si>
  <si>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</si>
  <si>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</si>
  <si>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</si>
  <si>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</si>
  <si>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</si>
  <si>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</si>
  <si>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</si>
  <si>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</si>
  <si>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</si>
  <si>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</si>
  <si>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</si>
  <si>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</si>
  <si>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</si>
  <si>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</si>
  <si>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</si>
  <si>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</si>
  <si>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</si>
  <si>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</si>
  <si>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</si>
  <si>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</si>
  <si>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</si>
  <si>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</si>
  <si>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</si>
  <si>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</si>
  <si>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</si>
  <si>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</si>
  <si>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</si>
  <si>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</si>
  <si>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</si>
  <si>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</si>
  <si>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</si>
  <si>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</si>
  <si>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</si>
  <si>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</si>
  <si>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</si>
  <si>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</si>
  <si>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</si>
  <si>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</si>
  <si>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</si>
  <si>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</si>
  <si>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</si>
  <si>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</si>
  <si>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</si>
  <si>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</si>
  <si>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</si>
  <si>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</si>
  <si>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</si>
  <si>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</si>
  <si>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</si>
  <si>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</si>
  <si>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</si>
  <si>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</si>
  <si>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</si>
  <si>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</si>
  <si>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</si>
  <si>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</si>
  <si>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</si>
  <si>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</si>
  <si>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</si>
  <si>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</si>
  <si>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</si>
  <si>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</si>
  <si>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</si>
  <si>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</si>
  <si>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</si>
  <si>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</si>
  <si>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</si>
  <si>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</si>
  <si>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</si>
  <si>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</si>
  <si>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</si>
  <si>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</si>
  <si>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</si>
  <si>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</si>
  <si>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</si>
  <si>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</si>
  <si>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</si>
  <si>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</si>
  <si>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</si>
  <si>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</si>
  <si>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</si>
  <si>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</si>
  <si>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</si>
  <si>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</si>
  <si>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</si>
  <si>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</si>
  <si>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</si>
  <si>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</si>
  <si>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</si>
  <si>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</si>
  <si>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</si>
  <si>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</si>
  <si>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</si>
  <si>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</si>
  <si>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</si>
  <si>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</si>
  <si>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</si>
  <si>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</si>
  <si>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</si>
  <si>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</si>
  <si>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</si>
  <si>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</si>
  <si>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</si>
  <si>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</si>
  <si>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</si>
  <si>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</si>
  <si>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</si>
  <si>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</si>
  <si>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</si>
  <si>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</si>
  <si>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</si>
  <si>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</si>
  <si>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</si>
  <si>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</si>
  <si>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</si>
  <si>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</si>
  <si>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</si>
  <si>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</si>
  <si>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</si>
  <si>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</si>
  <si>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</si>
  <si>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</si>
  <si>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</si>
  <si>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</si>
  <si>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</si>
  <si>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</si>
  <si>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</si>
  <si>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</si>
  <si>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</si>
  <si>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</si>
  <si>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</si>
  <si>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</si>
  <si>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</si>
  <si>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</si>
  <si>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</si>
  <si>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</si>
  <si>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</si>
  <si>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</si>
  <si>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</si>
  <si>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</si>
  <si>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</si>
  <si>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</si>
  <si>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</si>
  <si>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</si>
  <si>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</si>
  <si>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</si>
  <si>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</si>
  <si>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</si>
  <si>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</si>
  <si>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</si>
  <si>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</si>
  <si>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</si>
  <si>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</si>
  <si>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</si>
  <si>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</si>
  <si>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</si>
  <si>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</si>
  <si>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</si>
  <si>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</si>
  <si>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</si>
  <si>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</si>
  <si>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</si>
  <si>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</si>
  <si>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</si>
  <si>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</si>
  <si>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</si>
  <si>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</si>
  <si>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</si>
  <si>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</si>
  <si>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</si>
  <si>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</si>
  <si>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</si>
  <si>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</si>
  <si>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</si>
  <si>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</si>
  <si>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</si>
  <si>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</si>
  <si>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</si>
  <si>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</si>
  <si>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</si>
  <si>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</si>
  <si>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</si>
  <si>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</si>
  <si>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</si>
  <si>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</si>
  <si>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</si>
  <si>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</si>
  <si>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</si>
  <si>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</si>
  <si>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</si>
  <si>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</si>
  <si>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</si>
  <si>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</si>
  <si>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</si>
  <si>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</si>
  <si>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</si>
  <si>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</si>
  <si>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</si>
  <si>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</si>
  <si>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</si>
  <si>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</si>
  <si>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</si>
  <si>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</si>
  <si>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</si>
  <si>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</si>
  <si>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</si>
  <si>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</si>
  <si>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</si>
  <si>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</si>
  <si>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</si>
  <si>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</si>
  <si>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</si>
  <si>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</si>
  <si>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</si>
  <si>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</si>
  <si>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</si>
  <si>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</si>
  <si>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</si>
  <si>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</si>
  <si>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</si>
  <si>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</si>
  <si>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</si>
  <si>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</si>
  <si>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</si>
  <si>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</si>
  <si>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</si>
  <si>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</si>
  <si>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</si>
  <si>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</si>
  <si>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</si>
  <si>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</si>
  <si>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</si>
  <si>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</si>
  <si>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</si>
  <si>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</si>
  <si>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</si>
  <si>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</si>
  <si>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</si>
  <si>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</si>
  <si>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</si>
  <si>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</si>
  <si>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</si>
  <si>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</si>
  <si>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</si>
  <si>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</si>
  <si>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</si>
  <si>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</si>
  <si>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</si>
  <si>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</si>
  <si>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</si>
  <si>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</si>
  <si>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</si>
  <si>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</si>
  <si>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</si>
  <si>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</si>
  <si>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</si>
  <si>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</si>
  <si>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</si>
  <si>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</si>
  <si>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</si>
  <si>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</si>
  <si>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</si>
  <si>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</si>
  <si>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</si>
  <si>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</si>
  <si>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</si>
  <si>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</si>
  <si>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</si>
  <si>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</si>
  <si>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</si>
  <si>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</si>
  <si>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</si>
  <si>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</si>
  <si>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</si>
  <si>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</si>
  <si>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</si>
  <si>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</si>
  <si>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</si>
  <si>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</si>
  <si>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</si>
  <si>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</si>
  <si>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</si>
  <si>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</si>
  <si>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</si>
  <si>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</si>
  <si>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</si>
  <si>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</si>
  <si>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</si>
  <si>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</si>
  <si>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</si>
  <si>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</si>
  <si>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</si>
  <si>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</si>
  <si>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</si>
  <si>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</si>
  <si>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</si>
  <si>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</si>
  <si>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</si>
  <si>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</si>
  <si>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</si>
  <si>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</si>
  <si>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</si>
  <si>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</si>
  <si>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</si>
  <si>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</si>
  <si>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</si>
  <si>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</si>
  <si>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</si>
  <si>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</si>
  <si>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</si>
  <si>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</si>
  <si>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</si>
  <si>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</si>
  <si>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</si>
  <si>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</si>
  <si>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</si>
  <si>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</si>
  <si>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</si>
  <si>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</si>
  <si>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</si>
  <si>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</si>
  <si>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</si>
  <si>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</si>
  <si>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</si>
  <si>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</si>
  <si>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</si>
  <si>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</si>
  <si>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</si>
  <si>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</si>
  <si>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</si>
  <si>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</si>
  <si>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</si>
  <si>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</si>
  <si>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</si>
  <si>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</si>
  <si>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</si>
  <si>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</si>
  <si>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</si>
  <si>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</si>
  <si>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</si>
  <si>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</si>
  <si>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</si>
  <si>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</si>
  <si>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</si>
  <si>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</si>
  <si>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</si>
  <si>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</si>
  <si>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</si>
  <si>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</si>
  <si>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</si>
  <si>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</si>
  <si>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</si>
  <si>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</si>
  <si>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</si>
  <si>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</si>
  <si>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</si>
  <si>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</si>
  <si>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</si>
  <si>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</si>
  <si>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</si>
  <si>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</si>
  <si>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</si>
  <si>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</si>
  <si>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</si>
  <si>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</si>
  <si>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</si>
  <si>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</si>
  <si>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</si>
  <si>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</si>
  <si>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</si>
  <si>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</si>
  <si>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</si>
  <si>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</si>
  <si>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</si>
  <si>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</si>
  <si>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</si>
  <si>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</si>
  <si>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</si>
  <si>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</si>
  <si>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</si>
  <si>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</si>
  <si>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</si>
  <si>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</si>
  <si>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</si>
  <si>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</si>
  <si>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</si>
  <si>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</si>
  <si>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</si>
  <si>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</si>
  <si>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</si>
  <si>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</si>
  <si>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</si>
  <si>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</si>
  <si>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</si>
  <si>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</si>
  <si>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</si>
  <si>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</si>
  <si>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</si>
  <si>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</si>
  <si>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</si>
  <si>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</si>
  <si>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</si>
  <si>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</si>
  <si>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</si>
  <si>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</si>
  <si>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</si>
  <si>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</si>
  <si>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</si>
  <si>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</si>
  <si>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</si>
  <si>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</si>
  <si>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</si>
  <si>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</si>
  <si>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</si>
  <si>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</si>
  <si>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</si>
  <si>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</si>
  <si>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</si>
  <si>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</si>
  <si>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</si>
  <si>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</si>
  <si>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</si>
  <si>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</si>
  <si>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</si>
  <si>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</si>
  <si>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</si>
  <si>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</si>
  <si>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</si>
  <si>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</si>
  <si>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</si>
  <si>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</si>
  <si>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</si>
  <si>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</si>
  <si>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</si>
  <si>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</si>
  <si>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</si>
  <si>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</si>
  <si>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</si>
  <si>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</si>
  <si>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</si>
  <si>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</si>
  <si>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</si>
  <si>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</si>
  <si>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</si>
  <si>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</si>
  <si>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</si>
  <si>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</si>
  <si>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</si>
  <si>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</si>
  <si>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</si>
  <si>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</si>
  <si>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</si>
  <si>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</si>
  <si>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</si>
  <si>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</si>
  <si>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</si>
  <si>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</si>
  <si>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</si>
  <si>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</si>
  <si>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</si>
  <si>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</si>
  <si>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</si>
  <si>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</si>
  <si>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</si>
  <si>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</si>
  <si>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</si>
  <si>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</si>
  <si>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</si>
  <si>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</si>
  <si>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</si>
  <si>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</si>
  <si>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</si>
  <si>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</si>
  <si>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</si>
  <si>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</si>
  <si>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</si>
  <si>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</si>
  <si>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</si>
  <si>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</si>
  <si>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</si>
  <si>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</si>
  <si>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</si>
  <si>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</si>
  <si>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</si>
  <si>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</si>
  <si>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</si>
  <si>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</si>
  <si>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</si>
  <si>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</si>
  <si>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</si>
  <si>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NATHAN TROTTER &amp; CO, INC</t>
  </si>
  <si>
    <t>241 W. STEWART HUSTON DRIVE, COATESVILLE, PA 19320</t>
  </si>
  <si>
    <t>BEN ETHERINGTON</t>
  </si>
  <si>
    <t>BEN@NATHANTROTTER.COM</t>
  </si>
  <si>
    <t>610-524-1440</t>
  </si>
  <si>
    <t>VICE PRESIDENT</t>
  </si>
  <si>
    <t>100%</t>
  </si>
  <si>
    <t>WWW.NATHANTROTTER.COM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</si>
</sst>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nathantrotter.com/" TargetMode="External"/><Relationship Id="rId2" Type="http://schemas.openxmlformats.org/officeDocument/2006/relationships/hyperlink" Target="mailto:BEN@NATHANTROTTER.COM" TargetMode="External"/><Relationship Id="rId1" Type="http://schemas.openxmlformats.org/officeDocument/2006/relationships/hyperlink" Target="mailto:BEN@NATHANTROTTER.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76606F6E-8A36-47AF-9194-30FE20C86ECE}"/>
    </customSheetView>
    <customSheetView guid="{C59130F4-2E03-5E48-94CE-6E4A0484DB9E}" showAutoFilter="1">
      <selection activeCell="E4" sqref="E4"/>
      <pageMargins left="0" right="0" top="0" bottom="0" header="0" footer="0"/>
      <pageSetup paperSize="9" orientation="portrait"/>
      <headerFooter alignWithMargins="0"/>
      <autoFilter ref="B1:N1" xr:uid="{AA1DA646-5910-44B6-990E-38ADAD29EC5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62D37526-E07F-437A-882C-AD43944607A5}"/>
    </customSheetView>
    <customSheetView guid="{C59130F4-2E03-5E48-94CE-6E4A0484DB9E}" showAutoFilter="1">
      <selection activeCell="C1" sqref="C1:D65536"/>
      <pageMargins left="0" right="0" top="0" bottom="0" header="0" footer="0"/>
      <pageSetup orientation="portrait"/>
      <headerFooter alignWithMargins="0"/>
      <autoFilter ref="B1:C1" xr:uid="{63E01C14-2ACD-42FF-99F7-717DC888E9E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15" zoomScaleNormal="100" workbookViewId="0">
      <selection activeCell="A139" sqref="A139:J13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19180</v>
      </c>
      <c r="E12" s="427" t="s">
        <v>18684</v>
      </c>
      <c r="F12" s="428"/>
      <c r="G12" s="370" t="s">
        <v>19182</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27" t="s">
        <v>19184</v>
      </c>
      <c r="F13" s="428"/>
      <c r="G13" s="370" t="s">
        <v>18685</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13" t="s">
        <v>20162</v>
      </c>
      <c r="E18" s="414"/>
      <c r="F18" s="414"/>
      <c r="G18" s="414"/>
      <c r="H18" s="414"/>
      <c r="I18" s="414"/>
      <c r="J18" s="415"/>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20163</v>
      </c>
      <c r="E19" s="414"/>
      <c r="F19" s="414"/>
      <c r="G19" s="414"/>
      <c r="H19" s="414"/>
      <c r="I19" s="414"/>
      <c r="J19" s="415"/>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20165</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20163</v>
      </c>
      <c r="E22" s="414"/>
      <c r="F22" s="414"/>
      <c r="G22" s="414"/>
      <c r="H22" s="414"/>
      <c r="I22" s="414"/>
      <c r="J22" s="415"/>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13" t="s">
        <v>20166</v>
      </c>
      <c r="E23" s="414"/>
      <c r="F23" s="414"/>
      <c r="G23" s="414"/>
      <c r="H23" s="414"/>
      <c r="I23" s="414"/>
      <c r="J23" s="415"/>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20164</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45962</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Copper(*)</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Nickel(*)</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
      </c>
      <c r="C32" s="28"/>
      <c r="D32" s="436"/>
      <c r="E32" s="437"/>
      <c r="F32" s="8"/>
      <c r="G32" s="401"/>
      <c r="H32" s="402"/>
      <c r="I32" s="402"/>
      <c r="J32" s="403"/>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36"/>
      <c r="E33" s="437"/>
      <c r="F33" s="8"/>
      <c r="G33" s="401"/>
      <c r="H33" s="402"/>
      <c r="I33" s="402"/>
      <c r="J33" s="403"/>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36"/>
      <c r="E34" s="437"/>
      <c r="F34" s="8"/>
      <c r="G34" s="401"/>
      <c r="H34" s="402"/>
      <c r="I34" s="402"/>
      <c r="J34" s="403"/>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36"/>
      <c r="E35" s="437"/>
      <c r="F35" s="8"/>
      <c r="G35" s="401"/>
      <c r="H35" s="402"/>
      <c r="I35" s="402"/>
      <c r="J35" s="403"/>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Copper(*)</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Nickel(*)</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Nickel</v>
      </c>
      <c r="T43" s="301" t="str">
        <f>IF(S43="",S43,IF(S42="",S42,IF(S42&gt;S43,S42,S43)))</f>
        <v>Nickel</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Copper(*)</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Nickel(*)</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Copper(*)</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Copper(*)</v>
      </c>
      <c r="C78" s="28"/>
      <c r="D78" s="436" t="s">
        <v>20167</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Nickel(*)</v>
      </c>
      <c r="C79" s="28"/>
      <c r="D79" s="436" t="s">
        <v>20167</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Copper(*)</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Nickel(*)</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Copper(*)</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Nickel(*)</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20168</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Copper(*)</v>
      </c>
      <c r="C120" s="292"/>
      <c r="D120" s="436" t="s">
        <v>25</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Nickel(*)</v>
      </c>
      <c r="C121" s="292"/>
      <c r="D121" s="436" t="s">
        <v>25</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29DDC1D3-50C8-43BD-ACF8-56C04F8482E3}"/>
    <hyperlink ref="D24" r:id="rId2" xr:uid="{DF0F29DD-AFB9-4300-B986-F119E7CB3009}"/>
    <hyperlink ref="G117" r:id="rId3" xr:uid="{43163C35-ECDD-4A98-9762-E57AD3CD97C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Normal="100" workbookViewId="0">
      <pane ySplit="3" topLeftCell="A5" activePane="bottomLeft" state="frozen"/>
      <selection activeCell="B24" sqref="B24:J24"/>
      <selection pane="bottomLeft" activeCell="C6" sqref="C6"/>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c r="B5" s="302" t="s">
        <v>18685</v>
      </c>
      <c r="C5" s="151" t="s">
        <v>18943</v>
      </c>
      <c r="D5" s="148"/>
      <c r="E5" s="148" t="str">
        <f ca="1">IF(ISERROR($V5),"",OFFSET('Smelter Look-up'!$D$4,$V5-4,0)&amp;"")</f>
        <v>FINLAND</v>
      </c>
      <c r="F5" s="148" t="str">
        <f ca="1">IF(ISERROR($V5),"",OFFSET('Smelter Look-up'!$E$4,$V5-4,0))</f>
        <v>CID004008</v>
      </c>
      <c r="G5" s="148" t="str">
        <f ca="1">IF(C5=$X$4,"Enter smelter details",IF(ISERROR($V5),"",OFFSET('Smelter Look-up'!$F$4,$V5-4,0)))</f>
        <v>RMI</v>
      </c>
      <c r="H5" s="204">
        <f ca="1">IF(ISERROR($V5),"",OFFSET('Smelter Look-up'!$G$4,$V5-4,0))</f>
        <v>0</v>
      </c>
      <c r="I5" s="205" t="str">
        <f ca="1">IF(ISERROR($V5),"",OFFSET('Smelter Look-up'!$H$4,$V5-4,0))</f>
        <v>Harjavalta</v>
      </c>
      <c r="J5" s="205" t="str">
        <f ca="1">IF(ISERROR($V5),"",OFFSET('Smelter Look-up'!$I$4,$V5-4,0))</f>
        <v>Satakunta</v>
      </c>
      <c r="K5" s="149"/>
      <c r="L5" s="149"/>
      <c r="M5" s="149"/>
      <c r="N5" s="149"/>
      <c r="O5" s="149"/>
      <c r="P5" s="207"/>
      <c r="Q5" s="150"/>
      <c r="R5" s="148" t="str">
        <f ca="1">IF(ISERROR($V5),"",OFFSET('Smelter Look-up'!$C$4,$V5-4,0)&amp;"")</f>
        <v>NORILSK NICKEL HARJAVALTA OY</v>
      </c>
      <c r="S5" s="154" t="str">
        <f t="shared" ref="S5:S12" ca="1" si="0">IF(B5="","",IF(ISERROR(MATCH($E5,CL,0)),"Unknown",INDIRECT("'C'!$A$"&amp;MATCH($E5,CL,0)+1)))</f>
        <v>FI</v>
      </c>
      <c r="T5" s="154" t="str">
        <f ca="1">IF(B5="","",IF(ISERROR(MATCH($J5,SorP!$B$1:$B$6226,0)),"",INDIRECT("'SorP'!$A$"&amp;MATCH($S5&amp;$J5,SorP!C:C,0))))</f>
        <v>FI-17</v>
      </c>
      <c r="U5" s="167"/>
      <c r="V5" s="168">
        <f>IF(C5="",NA(),MATCH($B5&amp;$C5,'Smelter Look-up'!$J:$J,0))</f>
        <v>472</v>
      </c>
      <c r="X5" s="169">
        <f t="shared" ref="X5:X12" ca="1" si="1">IF(AND(C5="Smelter not listed",OR(LEN(D5)=0,LEN(E5)=0)),1,0)</f>
        <v>0</v>
      </c>
      <c r="AB5" s="312" t="str">
        <f t="shared" ref="AB5:AB12" si="2">IF(C5="","",B5)</f>
        <v>Nickel</v>
      </c>
      <c r="AC5" s="169" t="str">
        <f>B5</f>
        <v>Nickel</v>
      </c>
      <c r="AD5" s="169" t="str">
        <f>IF(C5="Smelter not listed",D5,C5)</f>
        <v>Norilsk Harjavalta</v>
      </c>
    </row>
    <row r="6" spans="1:34" s="169" customFormat="1" ht="20.25">
      <c r="A6" s="196"/>
      <c r="B6" s="302" t="s">
        <v>18684</v>
      </c>
      <c r="C6" s="151" t="s">
        <v>18798</v>
      </c>
      <c r="D6" s="148"/>
      <c r="E6" s="148" t="str">
        <f ca="1">IF(ISERROR($V6),"",OFFSET('Smelter Look-up'!$D$4,$V6-4,0)&amp;"")</f>
        <v>CHILE</v>
      </c>
      <c r="F6" s="148" t="str">
        <f ca="1">IF(ISERROR($V6),"",OFFSET('Smelter Look-up'!$E$4,$V6-4,0))</f>
        <v>CID004128</v>
      </c>
      <c r="G6" s="148" t="str">
        <f ca="1">IF(C6=$X$4,"Enter smelter details",IF(ISERROR($V6),"",OFFSET('Smelter Look-up'!$F$4,$V6-4,0)))</f>
        <v>RMI</v>
      </c>
      <c r="H6" s="204">
        <f ca="1">IF(ISERROR($V6),"",OFFSET('Smelter Look-up'!$G$4,$V6-4,0))</f>
        <v>0</v>
      </c>
      <c r="I6" s="205" t="str">
        <f ca="1">IF(ISERROR($V6),"",OFFSET('Smelter Look-up'!$H$4,$V6-4,0))</f>
        <v>Calama</v>
      </c>
      <c r="J6" s="205" t="str">
        <f ca="1">IF(ISERROR($V6),"",OFFSET('Smelter Look-up'!$I$4,$V6-4,0))</f>
        <v>Antofagasta</v>
      </c>
      <c r="K6" s="149"/>
      <c r="L6" s="149"/>
      <c r="M6" s="149"/>
      <c r="N6" s="149"/>
      <c r="O6" s="149"/>
      <c r="P6" s="207"/>
      <c r="Q6" s="150"/>
      <c r="R6" s="148" t="str">
        <f ca="1">IF(ISERROR($V6),"",OFFSET('Smelter Look-up'!$C$4,$V6-4,0)&amp;"")</f>
        <v>Division Radomiro Tomic</v>
      </c>
      <c r="S6" s="154" t="str">
        <f t="shared" ca="1" si="0"/>
        <v>CL</v>
      </c>
      <c r="T6" s="154" t="str">
        <f ca="1">IF(B6="","",IF(ISERROR(MATCH($J6,SorP!$B$1:$B$6226,0)),"",INDIRECT("'SorP'!$A$"&amp;MATCH($S6&amp;$J6,SorP!C:C,0))))</f>
        <v>CL-AN</v>
      </c>
      <c r="U6" s="167"/>
      <c r="V6" s="168">
        <f>IF(C6="",NA(),MATCH($B6&amp;$C6,'Smelter Look-up'!$J:$J,0))</f>
        <v>279</v>
      </c>
      <c r="X6" s="169">
        <f t="shared" ca="1" si="1"/>
        <v>0</v>
      </c>
      <c r="AB6" s="312" t="str">
        <f t="shared" si="2"/>
        <v>Copper</v>
      </c>
      <c r="AC6" s="169" t="str">
        <f t="shared" ref="AC6:AC69" si="3">B6</f>
        <v>Copper</v>
      </c>
      <c r="AD6" s="169" t="str">
        <f t="shared" ref="AD6:AD69" si="4">IF(C6="Smelter not listed",D6,C6)</f>
        <v>Radomiro Tomic</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NATHAN TROTTER &amp; CO,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BEN ETHERINGTON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BEN@NATHANTROTTER.COM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610-524-1440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BEN ETHERINGTON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BEN@NATHANTROTTER.COM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45962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Nickel(*)</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Copper(*)</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Nickel(*)</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Copper(*)</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Nickel(*)</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Copper(*)</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Nickel(*)</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Copper(*)</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Nickel(*)</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WWW.NATHANTROTTER.COM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Copper</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Nickel</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Chris Brauch</cp:lastModifiedBy>
  <cp:revision/>
  <dcterms:created xsi:type="dcterms:W3CDTF">2010-06-21T21:00:23Z</dcterms:created>
  <dcterms:modified xsi:type="dcterms:W3CDTF">2025-11-18T18:54:39Z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